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slicers/slicer2.xml" ContentType="application/vnd.ms-excel.slicer+xml"/>
  <Override PartName="/xl/comments2.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slicers/slicer3.xml" ContentType="application/vnd.ms-excel.slicer+xml"/>
  <Override PartName="/xl/comments3.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tables/table6.xml" ContentType="application/vnd.openxmlformats-officedocument.spreadsheetml.table+xml"/>
  <Override PartName="/xl/slicers/slicer4.xml" ContentType="application/vnd.ms-excel.slicer+xml"/>
  <Override PartName="/xl/drawings/drawing9.xml" ContentType="application/vnd.openxmlformats-officedocument.drawing+xml"/>
  <Override PartName="/xl/tables/table7.xml" ContentType="application/vnd.openxmlformats-officedocument.spreadsheetml.table+xml"/>
  <Override PartName="/xl/slicers/slicer5.xml" ContentType="application/vnd.ms-excel.slicer+xml"/>
  <Override PartName="/xl/drawings/drawing10.xml" ContentType="application/vnd.openxmlformats-officedocument.drawing+xml"/>
  <Override PartName="/xl/tables/table8.xml" ContentType="application/vnd.openxmlformats-officedocument.spreadsheetml.table+xml"/>
  <Override PartName="/xl/slicers/slicer6.xml" ContentType="application/vnd.ms-excel.slicer+xml"/>
  <Override PartName="/xl/drawings/drawing11.xml" ContentType="application/vnd.openxmlformats-officedocument.drawing+xml"/>
  <Override PartName="/xl/tables/table9.xml" ContentType="application/vnd.openxmlformats-officedocument.spreadsheetml.table+xml"/>
  <Override PartName="/xl/slicers/slicer7.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codeName="ThisWorkbook"/>
  <xr:revisionPtr revIDLastSave="0" documentId="8_{067EDE02-D3CE-4302-9335-27353AC60BCF}" xr6:coauthVersionLast="47" xr6:coauthVersionMax="47" xr10:uidLastSave="{00000000-0000-0000-0000-000000000000}"/>
  <bookViews>
    <workbookView xWindow="-120" yWindow="-120" windowWidth="38640" windowHeight="21120" tabRatio="699" activeTab="4" xr2:uid="{B96B92AF-5BE5-4AE3-8DD0-647E53B1F9E3}"/>
  </bookViews>
  <sheets>
    <sheet name="Lähtötiedot" sheetId="3" r:id="rId1"/>
    <sheet name="LV" sheetId="5" state="hidden" r:id="rId2"/>
    <sheet name="Kysymyspankki" sheetId="1" state="hidden" r:id="rId3"/>
    <sheet name="Ohje" sheetId="25" r:id="rId4"/>
    <sheet name="Turvallinen_ja_toimintavarma" sheetId="2" r:id="rId5"/>
    <sheet name="Kustannustehokas_ja_organisoitu" sheetId="21" r:id="rId6"/>
    <sheet name="Kestävä_ja_kehittyvä" sheetId="22" r:id="rId7"/>
    <sheet name="TEKNINEN - TulostenLasku" sheetId="9" state="hidden" r:id="rId8"/>
    <sheet name="Tulokset" sheetId="19" r:id="rId9"/>
    <sheet name="TEKNINEN - Korjattavaa" sheetId="17" state="hidden" r:id="rId10"/>
    <sheet name="Korjattavaa" sheetId="23" r:id="rId11"/>
    <sheet name="TEKNINEN - Koontisivu" sheetId="24" state="hidden" r:id="rId12"/>
    <sheet name="Koontisivu" sheetId="15" r:id="rId13"/>
  </sheets>
  <definedNames>
    <definedName name="Slicer_Alakategoria">#N/A</definedName>
    <definedName name="Slicer_Alakategoria1">#N/A</definedName>
    <definedName name="Slicer_Kuuluuko_kriteeri_kyseisen_laitoksen_vastattavaksi">#N/A</definedName>
    <definedName name="Slicer_Kuuluuko_kriteeri_kyseisen_laitoksen_vastattavaksi1">#N/A</definedName>
    <definedName name="Slicer_Näytetäänkö_rivi?">#N/A</definedName>
    <definedName name="Slicer_Onko_korjattavaa?">#N/A</definedName>
    <definedName name="Slicer_SeliteOsittajaan">#N/A</definedName>
    <definedName name="Slicer_SeliteOsittajaan1">#N/A</definedName>
    <definedName name="Slicer_SeliteOsittajaan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7" l="1"/>
  <c r="H55" i="23" s="1"/>
  <c r="L8" i="15"/>
  <c r="L10" i="15"/>
  <c r="L13" i="15"/>
  <c r="N15" i="15"/>
  <c r="L24" i="15"/>
  <c r="L26" i="15"/>
  <c r="L30" i="15"/>
  <c r="L32" i="15"/>
  <c r="L33" i="15"/>
  <c r="M33" i="15"/>
  <c r="L38" i="15"/>
  <c r="L40" i="15"/>
  <c r="L42" i="15"/>
  <c r="L44" i="15"/>
  <c r="L46" i="15"/>
  <c r="L48" i="15"/>
  <c r="L57" i="15"/>
  <c r="C64" i="15"/>
  <c r="D64" i="15"/>
  <c r="G64" i="15"/>
  <c r="H64" i="15"/>
  <c r="F65" i="15"/>
  <c r="C66" i="15"/>
  <c r="D66" i="15"/>
  <c r="G66" i="15"/>
  <c r="H66" i="15"/>
  <c r="C67" i="15"/>
  <c r="D67" i="15"/>
  <c r="E67" i="15"/>
  <c r="F67" i="15"/>
  <c r="C68" i="15"/>
  <c r="G68" i="15"/>
  <c r="E69" i="15"/>
  <c r="F69" i="15"/>
  <c r="G69" i="15"/>
  <c r="H69" i="15"/>
  <c r="C70" i="15"/>
  <c r="D70" i="15"/>
  <c r="G70" i="15"/>
  <c r="H70" i="15"/>
  <c r="C71" i="15"/>
  <c r="G71" i="15"/>
  <c r="C72" i="15"/>
  <c r="D72" i="15"/>
  <c r="G72" i="15"/>
  <c r="H72" i="15"/>
  <c r="E73" i="15"/>
  <c r="F73" i="15"/>
  <c r="G73" i="15"/>
  <c r="H73" i="15"/>
  <c r="L73" i="15"/>
  <c r="H74" i="15"/>
  <c r="C75" i="15"/>
  <c r="D75" i="15"/>
  <c r="E75" i="15"/>
  <c r="F75" i="15"/>
  <c r="G75" i="15"/>
  <c r="C76" i="15"/>
  <c r="D76" i="15"/>
  <c r="C77" i="15"/>
  <c r="F77" i="15"/>
  <c r="G77" i="15"/>
  <c r="H77" i="15"/>
  <c r="D78" i="15"/>
  <c r="E78" i="15"/>
  <c r="F78" i="15"/>
  <c r="G78" i="15"/>
  <c r="H78" i="15"/>
  <c r="C80" i="15"/>
  <c r="D80" i="15"/>
  <c r="F80" i="15"/>
  <c r="H80" i="15"/>
  <c r="I80" i="15"/>
  <c r="E81" i="15"/>
  <c r="F81" i="15"/>
  <c r="G81" i="15"/>
  <c r="H81" i="15"/>
  <c r="C82" i="15"/>
  <c r="D82" i="15"/>
  <c r="G82" i="15"/>
  <c r="H82" i="15"/>
  <c r="E83" i="15"/>
  <c r="H83" i="15"/>
  <c r="C84" i="15"/>
  <c r="D84" i="15"/>
  <c r="E84" i="15"/>
  <c r="G84" i="15"/>
  <c r="F85" i="15"/>
  <c r="H85" i="15"/>
  <c r="N85" i="15"/>
  <c r="C86" i="15"/>
  <c r="D86" i="15"/>
  <c r="H86" i="15"/>
  <c r="D87" i="15"/>
  <c r="H87" i="15"/>
  <c r="D88" i="15"/>
  <c r="E88" i="15"/>
  <c r="G88" i="15"/>
  <c r="H88" i="15"/>
  <c r="C89" i="15"/>
  <c r="E89" i="15"/>
  <c r="F89" i="15"/>
  <c r="G89" i="15"/>
  <c r="C90" i="15"/>
  <c r="D90" i="15"/>
  <c r="G91" i="15"/>
  <c r="H91" i="15"/>
  <c r="C92" i="15"/>
  <c r="D92" i="15"/>
  <c r="E92" i="15"/>
  <c r="G92" i="15"/>
  <c r="H92" i="15"/>
  <c r="D93" i="15"/>
  <c r="E93" i="15"/>
  <c r="F93" i="15"/>
  <c r="G93" i="15"/>
  <c r="C94" i="15"/>
  <c r="D94" i="15"/>
  <c r="G94" i="15"/>
  <c r="H94" i="15"/>
  <c r="E95" i="15"/>
  <c r="G95" i="15"/>
  <c r="H95" i="15"/>
  <c r="L95" i="15"/>
  <c r="C96" i="15"/>
  <c r="D96" i="15"/>
  <c r="H96" i="15"/>
  <c r="D97" i="15"/>
  <c r="E97" i="15"/>
  <c r="F97" i="15"/>
  <c r="G97" i="15"/>
  <c r="C98" i="15"/>
  <c r="D98" i="15"/>
  <c r="G98" i="15"/>
  <c r="H98" i="15"/>
  <c r="E99" i="15"/>
  <c r="H99" i="15"/>
  <c r="C100" i="15"/>
  <c r="D100" i="15"/>
  <c r="E100" i="15"/>
  <c r="G100" i="15"/>
  <c r="H100" i="15"/>
  <c r="D102" i="15"/>
  <c r="F102" i="15"/>
  <c r="G102" i="15"/>
  <c r="H102" i="15"/>
  <c r="C103" i="15"/>
  <c r="G103" i="15"/>
  <c r="H103" i="15"/>
  <c r="C104" i="15"/>
  <c r="D104" i="15"/>
  <c r="G104" i="15"/>
  <c r="H104" i="15"/>
  <c r="H105" i="15"/>
  <c r="D106" i="15"/>
  <c r="F106" i="15"/>
  <c r="G106" i="15"/>
  <c r="H106" i="15"/>
  <c r="G107" i="15"/>
  <c r="D108" i="15"/>
  <c r="E108" i="15"/>
  <c r="F108" i="15"/>
  <c r="G108" i="15"/>
  <c r="H108" i="15"/>
  <c r="G109" i="15"/>
  <c r="C110" i="15"/>
  <c r="D110" i="15"/>
  <c r="G110" i="15"/>
  <c r="H110" i="15"/>
  <c r="D111" i="15"/>
  <c r="G111" i="15"/>
  <c r="H111" i="15"/>
  <c r="C112" i="15"/>
  <c r="D112" i="15"/>
  <c r="E112" i="15"/>
  <c r="F112" i="15"/>
  <c r="G112" i="15"/>
  <c r="H112" i="15"/>
  <c r="D114" i="15"/>
  <c r="F114" i="15"/>
  <c r="G114" i="15"/>
  <c r="H114" i="15"/>
  <c r="E115" i="15"/>
  <c r="F115" i="15"/>
  <c r="G115" i="15"/>
  <c r="H115" i="15"/>
  <c r="C116" i="15"/>
  <c r="D116" i="15"/>
  <c r="H116" i="15"/>
  <c r="F117" i="15"/>
  <c r="H117" i="15"/>
  <c r="C118" i="15"/>
  <c r="D118" i="15"/>
  <c r="E118" i="15"/>
  <c r="F118" i="15"/>
  <c r="G118" i="15"/>
  <c r="H118" i="15"/>
  <c r="D119" i="15"/>
  <c r="E119" i="15"/>
  <c r="I119" i="15"/>
  <c r="D120" i="15"/>
  <c r="E120" i="15"/>
  <c r="F120" i="15"/>
  <c r="G120" i="15"/>
  <c r="H120" i="15"/>
  <c r="F121" i="15"/>
  <c r="G121" i="15"/>
  <c r="H121" i="15"/>
  <c r="L121" i="15"/>
  <c r="C122" i="15"/>
  <c r="D122" i="15"/>
  <c r="G122" i="15"/>
  <c r="H122" i="15"/>
  <c r="E123" i="15"/>
  <c r="F123" i="15"/>
  <c r="G123" i="15"/>
  <c r="H123" i="15"/>
  <c r="C124" i="15"/>
  <c r="D124" i="15"/>
  <c r="F124" i="15"/>
  <c r="G124" i="15"/>
  <c r="H124" i="15"/>
  <c r="F125" i="15"/>
  <c r="L125" i="15"/>
  <c r="C126" i="15"/>
  <c r="D126" i="15"/>
  <c r="F126" i="15"/>
  <c r="G126" i="15"/>
  <c r="H126" i="15"/>
  <c r="C127" i="15"/>
  <c r="D127" i="15"/>
  <c r="F127" i="15"/>
  <c r="D128" i="15"/>
  <c r="F128" i="15"/>
  <c r="G128" i="15"/>
  <c r="H128" i="15"/>
  <c r="C129" i="15"/>
  <c r="F129" i="15"/>
  <c r="G129" i="15"/>
  <c r="H129" i="15"/>
  <c r="I129" i="15"/>
  <c r="C130" i="15"/>
  <c r="D130" i="15"/>
  <c r="G130" i="15"/>
  <c r="H130" i="15"/>
  <c r="F131" i="15"/>
  <c r="H131" i="15"/>
  <c r="J131" i="15"/>
  <c r="C132" i="15"/>
  <c r="D132" i="15"/>
  <c r="F132" i="15"/>
  <c r="G132" i="15"/>
  <c r="H132" i="15"/>
  <c r="H133" i="15"/>
  <c r="D134" i="15"/>
  <c r="E134" i="15"/>
  <c r="F134" i="15"/>
  <c r="G134" i="15"/>
  <c r="H134" i="15"/>
  <c r="F135" i="15"/>
  <c r="G135" i="15"/>
  <c r="H135" i="15"/>
  <c r="I135" i="15"/>
  <c r="C136" i="15"/>
  <c r="D136" i="15"/>
  <c r="E136" i="15"/>
  <c r="H136" i="15"/>
  <c r="E137" i="15"/>
  <c r="F137" i="15"/>
  <c r="G137" i="15"/>
  <c r="H137" i="15"/>
  <c r="D138" i="15"/>
  <c r="E138" i="15"/>
  <c r="F138" i="15"/>
  <c r="G138" i="15"/>
  <c r="H138" i="15"/>
  <c r="H139" i="15"/>
  <c r="D140" i="15"/>
  <c r="F140" i="15"/>
  <c r="G140" i="15"/>
  <c r="H140" i="15"/>
  <c r="I140" i="15"/>
  <c r="E141" i="15"/>
  <c r="F141" i="15"/>
  <c r="G141" i="15"/>
  <c r="H141" i="15"/>
  <c r="L141" i="15"/>
  <c r="C142" i="15"/>
  <c r="D142" i="15"/>
  <c r="G142" i="15"/>
  <c r="H142" i="15"/>
  <c r="F143" i="15"/>
  <c r="G143" i="15"/>
  <c r="H143" i="15"/>
  <c r="L143" i="15"/>
  <c r="N143" i="24"/>
  <c r="M143" i="24"/>
  <c r="L143" i="24"/>
  <c r="J143" i="24"/>
  <c r="I143" i="24"/>
  <c r="I143" i="15" s="1"/>
  <c r="H143" i="24"/>
  <c r="G143" i="24"/>
  <c r="F143" i="24"/>
  <c r="E143" i="24"/>
  <c r="E143" i="15" s="1"/>
  <c r="D143" i="24"/>
  <c r="D143" i="15" s="1"/>
  <c r="C143" i="24"/>
  <c r="C143" i="15" s="1"/>
  <c r="N142" i="24"/>
  <c r="M142" i="24"/>
  <c r="L142" i="24"/>
  <c r="L142" i="15" s="1"/>
  <c r="J142" i="24"/>
  <c r="I142" i="24"/>
  <c r="H142" i="24"/>
  <c r="G142" i="24"/>
  <c r="F142" i="24"/>
  <c r="F142" i="15" s="1"/>
  <c r="E142" i="24"/>
  <c r="E142" i="15" s="1"/>
  <c r="D142" i="24"/>
  <c r="C142" i="24"/>
  <c r="N141" i="24"/>
  <c r="M141" i="24"/>
  <c r="L141" i="24"/>
  <c r="J141" i="24"/>
  <c r="I141" i="24"/>
  <c r="H141" i="24"/>
  <c r="G141" i="24"/>
  <c r="F141" i="24"/>
  <c r="E141" i="24"/>
  <c r="D141" i="24"/>
  <c r="D141" i="15" s="1"/>
  <c r="C141" i="24"/>
  <c r="C141" i="15" s="1"/>
  <c r="N140" i="24"/>
  <c r="M140" i="24"/>
  <c r="L140" i="24"/>
  <c r="L140" i="15" s="1"/>
  <c r="J140" i="24"/>
  <c r="I140" i="24"/>
  <c r="I141" i="15" s="1"/>
  <c r="H140" i="24"/>
  <c r="G140" i="24"/>
  <c r="F140" i="24"/>
  <c r="E140" i="24"/>
  <c r="E140" i="15" s="1"/>
  <c r="D140" i="24"/>
  <c r="C140" i="24"/>
  <c r="C140" i="15" s="1"/>
  <c r="N139" i="24"/>
  <c r="M139" i="24"/>
  <c r="L139" i="24"/>
  <c r="J139" i="24"/>
  <c r="I139" i="24"/>
  <c r="H139" i="24"/>
  <c r="G139" i="24"/>
  <c r="G139" i="15" s="1"/>
  <c r="F139" i="24"/>
  <c r="F139" i="15" s="1"/>
  <c r="E139" i="24"/>
  <c r="E139" i="15" s="1"/>
  <c r="D139" i="24"/>
  <c r="D139" i="15" s="1"/>
  <c r="C139" i="24"/>
  <c r="C139" i="15" s="1"/>
  <c r="N138" i="24"/>
  <c r="M138" i="24"/>
  <c r="L138" i="24"/>
  <c r="L139" i="15" s="1"/>
  <c r="J138" i="24"/>
  <c r="I138" i="24"/>
  <c r="I139" i="15" s="1"/>
  <c r="H138" i="24"/>
  <c r="G138" i="24"/>
  <c r="F138" i="24"/>
  <c r="E138" i="24"/>
  <c r="D138" i="24"/>
  <c r="C138" i="24"/>
  <c r="C138" i="15" s="1"/>
  <c r="N137" i="24"/>
  <c r="M137" i="24"/>
  <c r="L137" i="24"/>
  <c r="J137" i="24"/>
  <c r="J137" i="15" s="1"/>
  <c r="I137" i="24"/>
  <c r="I137" i="15" s="1"/>
  <c r="H137" i="24"/>
  <c r="G137" i="24"/>
  <c r="F137" i="24"/>
  <c r="E137" i="24"/>
  <c r="D137" i="24"/>
  <c r="D137" i="15" s="1"/>
  <c r="C137" i="24"/>
  <c r="C137" i="15" s="1"/>
  <c r="N136" i="24"/>
  <c r="M136" i="24"/>
  <c r="L136" i="24"/>
  <c r="J136" i="24"/>
  <c r="I136" i="24"/>
  <c r="I136" i="15" s="1"/>
  <c r="H136" i="24"/>
  <c r="G136" i="24"/>
  <c r="G136" i="15" s="1"/>
  <c r="F136" i="24"/>
  <c r="F136" i="15" s="1"/>
  <c r="E136" i="24"/>
  <c r="D136" i="24"/>
  <c r="C136" i="24"/>
  <c r="N135" i="24"/>
  <c r="M135" i="24"/>
  <c r="L135" i="24"/>
  <c r="J135" i="24"/>
  <c r="I135" i="24"/>
  <c r="H135" i="24"/>
  <c r="G135" i="24"/>
  <c r="F135" i="24"/>
  <c r="E135" i="24"/>
  <c r="E135" i="15" s="1"/>
  <c r="D135" i="24"/>
  <c r="D135" i="15" s="1"/>
  <c r="C135" i="24"/>
  <c r="C135" i="15" s="1"/>
  <c r="N134" i="24"/>
  <c r="M134" i="24"/>
  <c r="L134" i="24"/>
  <c r="L135" i="15" s="1"/>
  <c r="J134" i="24"/>
  <c r="I134" i="24"/>
  <c r="H134" i="24"/>
  <c r="G134" i="24"/>
  <c r="F134" i="24"/>
  <c r="E134" i="24"/>
  <c r="D134" i="24"/>
  <c r="C134" i="24"/>
  <c r="C134" i="15" s="1"/>
  <c r="N133" i="24"/>
  <c r="M133" i="24"/>
  <c r="L133" i="24"/>
  <c r="J133" i="24"/>
  <c r="I133" i="24"/>
  <c r="H133" i="24"/>
  <c r="G133" i="24"/>
  <c r="G133" i="15" s="1"/>
  <c r="F133" i="24"/>
  <c r="F133" i="15" s="1"/>
  <c r="E133" i="24"/>
  <c r="E133" i="15" s="1"/>
  <c r="D133" i="24"/>
  <c r="D133" i="15" s="1"/>
  <c r="C133" i="24"/>
  <c r="C133" i="15" s="1"/>
  <c r="N132" i="24"/>
  <c r="M132" i="24"/>
  <c r="L132" i="24"/>
  <c r="L133" i="15" s="1"/>
  <c r="J132" i="24"/>
  <c r="I132" i="24"/>
  <c r="I132" i="15" s="1"/>
  <c r="H132" i="24"/>
  <c r="G132" i="24"/>
  <c r="F132" i="24"/>
  <c r="E132" i="24"/>
  <c r="E132" i="15" s="1"/>
  <c r="D132" i="24"/>
  <c r="C132" i="24"/>
  <c r="N131" i="24"/>
  <c r="M131" i="24"/>
  <c r="L131" i="24"/>
  <c r="J131" i="24"/>
  <c r="I131" i="24"/>
  <c r="H131" i="24"/>
  <c r="G131" i="24"/>
  <c r="G131" i="15" s="1"/>
  <c r="F131" i="24"/>
  <c r="E131" i="24"/>
  <c r="E131" i="15" s="1"/>
  <c r="D131" i="24"/>
  <c r="D131" i="15" s="1"/>
  <c r="C131" i="24"/>
  <c r="C131" i="15" s="1"/>
  <c r="N130" i="24"/>
  <c r="M130" i="24"/>
  <c r="L130" i="24"/>
  <c r="J130" i="24"/>
  <c r="I130" i="24"/>
  <c r="I131" i="15" s="1"/>
  <c r="H130" i="24"/>
  <c r="G130" i="24"/>
  <c r="F130" i="24"/>
  <c r="F130" i="15" s="1"/>
  <c r="E130" i="24"/>
  <c r="E130" i="15" s="1"/>
  <c r="D130" i="24"/>
  <c r="C130" i="24"/>
  <c r="N129" i="24"/>
  <c r="M129" i="24"/>
  <c r="L129" i="24"/>
  <c r="J129" i="24"/>
  <c r="I129" i="24"/>
  <c r="H129" i="24"/>
  <c r="G129" i="24"/>
  <c r="F129" i="24"/>
  <c r="E129" i="24"/>
  <c r="E129" i="15" s="1"/>
  <c r="D129" i="24"/>
  <c r="D129" i="15" s="1"/>
  <c r="C129" i="24"/>
  <c r="N128" i="24"/>
  <c r="M128" i="24"/>
  <c r="L128" i="24"/>
  <c r="L129" i="15" s="1"/>
  <c r="J128" i="24"/>
  <c r="I128" i="24"/>
  <c r="I128" i="15" s="1"/>
  <c r="H128" i="24"/>
  <c r="G128" i="24"/>
  <c r="F128" i="24"/>
  <c r="E128" i="24"/>
  <c r="E128" i="15" s="1"/>
  <c r="D128" i="24"/>
  <c r="C128" i="24"/>
  <c r="C128" i="15" s="1"/>
  <c r="N127" i="24"/>
  <c r="M127" i="24"/>
  <c r="L127" i="24"/>
  <c r="J127" i="24"/>
  <c r="I127" i="24"/>
  <c r="I127" i="15" s="1"/>
  <c r="H127" i="24"/>
  <c r="H127" i="15" s="1"/>
  <c r="G127" i="24"/>
  <c r="G127" i="15" s="1"/>
  <c r="F127" i="24"/>
  <c r="E127" i="24"/>
  <c r="E127" i="15" s="1"/>
  <c r="D127" i="24"/>
  <c r="C127" i="24"/>
  <c r="N126" i="24"/>
  <c r="M126" i="24"/>
  <c r="L126" i="24"/>
  <c r="L127" i="15" s="1"/>
  <c r="J126" i="24"/>
  <c r="I126" i="24"/>
  <c r="H126" i="24"/>
  <c r="G126" i="24"/>
  <c r="F126" i="24"/>
  <c r="E126" i="24"/>
  <c r="E126" i="15" s="1"/>
  <c r="D126" i="24"/>
  <c r="C126" i="24"/>
  <c r="N125" i="24"/>
  <c r="M125" i="24"/>
  <c r="L125" i="24"/>
  <c r="J125" i="24"/>
  <c r="I125" i="24"/>
  <c r="H125" i="24"/>
  <c r="H125" i="15" s="1"/>
  <c r="G125" i="24"/>
  <c r="G125" i="15" s="1"/>
  <c r="F125" i="24"/>
  <c r="E125" i="24"/>
  <c r="E125" i="15" s="1"/>
  <c r="D125" i="24"/>
  <c r="D125" i="15" s="1"/>
  <c r="C125" i="24"/>
  <c r="C125" i="15" s="1"/>
  <c r="N124" i="24"/>
  <c r="M124" i="24"/>
  <c r="L124" i="24"/>
  <c r="L124" i="15" s="1"/>
  <c r="J124" i="24"/>
  <c r="I124" i="24"/>
  <c r="I125" i="15" s="1"/>
  <c r="H124" i="24"/>
  <c r="G124" i="24"/>
  <c r="F124" i="24"/>
  <c r="E124" i="24"/>
  <c r="E124" i="15" s="1"/>
  <c r="D124" i="24"/>
  <c r="C124" i="24"/>
  <c r="N123" i="24"/>
  <c r="M123" i="24"/>
  <c r="L123" i="24"/>
  <c r="L123" i="15" s="1"/>
  <c r="J123" i="24"/>
  <c r="I123" i="24"/>
  <c r="H123" i="24"/>
  <c r="G123" i="24"/>
  <c r="F123" i="24"/>
  <c r="E123" i="24"/>
  <c r="D123" i="24"/>
  <c r="D123" i="15" s="1"/>
  <c r="C123" i="24"/>
  <c r="C123" i="15" s="1"/>
  <c r="N122" i="24"/>
  <c r="M122" i="24"/>
  <c r="L122" i="24"/>
  <c r="L122" i="15" s="1"/>
  <c r="J122" i="24"/>
  <c r="I122" i="24"/>
  <c r="I123" i="15" s="1"/>
  <c r="H122" i="24"/>
  <c r="G122" i="24"/>
  <c r="F122" i="24"/>
  <c r="F122" i="15" s="1"/>
  <c r="E122" i="24"/>
  <c r="E122" i="15" s="1"/>
  <c r="D122" i="24"/>
  <c r="C122" i="24"/>
  <c r="N121" i="24"/>
  <c r="M121" i="24"/>
  <c r="L121" i="24"/>
  <c r="J121" i="24"/>
  <c r="I121" i="24"/>
  <c r="H121" i="24"/>
  <c r="G121" i="24"/>
  <c r="F121" i="24"/>
  <c r="E121" i="24"/>
  <c r="E121" i="15" s="1"/>
  <c r="D121" i="24"/>
  <c r="D121" i="15" s="1"/>
  <c r="C121" i="24"/>
  <c r="C121" i="15" s="1"/>
  <c r="N120" i="24"/>
  <c r="M120" i="24"/>
  <c r="L120" i="24"/>
  <c r="L120" i="15" s="1"/>
  <c r="J120" i="24"/>
  <c r="I120" i="24"/>
  <c r="H120" i="24"/>
  <c r="G120" i="24"/>
  <c r="F120" i="24"/>
  <c r="E120" i="24"/>
  <c r="D120" i="24"/>
  <c r="C120" i="24"/>
  <c r="C120" i="15" s="1"/>
  <c r="N119" i="24"/>
  <c r="M119" i="24"/>
  <c r="L119" i="24"/>
  <c r="J119" i="24"/>
  <c r="I119" i="24"/>
  <c r="H119" i="24"/>
  <c r="H119" i="15" s="1"/>
  <c r="G119" i="24"/>
  <c r="G119" i="15" s="1"/>
  <c r="F119" i="24"/>
  <c r="F119" i="15" s="1"/>
  <c r="E119" i="24"/>
  <c r="D119" i="24"/>
  <c r="C119" i="24"/>
  <c r="C119" i="15" s="1"/>
  <c r="N118" i="24"/>
  <c r="M118" i="24"/>
  <c r="L118" i="24"/>
  <c r="L119" i="15" s="1"/>
  <c r="J118" i="24"/>
  <c r="I118" i="24"/>
  <c r="H118" i="24"/>
  <c r="G118" i="24"/>
  <c r="F118" i="24"/>
  <c r="E118" i="24"/>
  <c r="D118" i="24"/>
  <c r="C118" i="24"/>
  <c r="N117" i="24"/>
  <c r="M117" i="24"/>
  <c r="L117" i="24"/>
  <c r="J117" i="24"/>
  <c r="I117" i="24"/>
  <c r="I117" i="15" s="1"/>
  <c r="H117" i="24"/>
  <c r="G117" i="24"/>
  <c r="G117" i="15" s="1"/>
  <c r="F117" i="24"/>
  <c r="E117" i="24"/>
  <c r="E117" i="15" s="1"/>
  <c r="D117" i="24"/>
  <c r="D117" i="15" s="1"/>
  <c r="C117" i="24"/>
  <c r="C117" i="15" s="1"/>
  <c r="N116" i="24"/>
  <c r="M116" i="24"/>
  <c r="L116" i="24"/>
  <c r="J116" i="24"/>
  <c r="I116" i="24"/>
  <c r="I116" i="15" s="1"/>
  <c r="H116" i="24"/>
  <c r="G116" i="24"/>
  <c r="G116" i="15" s="1"/>
  <c r="F116" i="24"/>
  <c r="F116" i="15" s="1"/>
  <c r="E116" i="24"/>
  <c r="E116" i="15" s="1"/>
  <c r="D116" i="24"/>
  <c r="C116" i="24"/>
  <c r="N115" i="24"/>
  <c r="M115" i="24"/>
  <c r="L115" i="24"/>
  <c r="J115" i="24"/>
  <c r="I115" i="24"/>
  <c r="I115" i="15" s="1"/>
  <c r="H115" i="24"/>
  <c r="G115" i="24"/>
  <c r="F115" i="24"/>
  <c r="E115" i="24"/>
  <c r="D115" i="24"/>
  <c r="D115" i="15" s="1"/>
  <c r="C115" i="24"/>
  <c r="C115" i="15" s="1"/>
  <c r="N114" i="24"/>
  <c r="M114" i="24"/>
  <c r="L114" i="24"/>
  <c r="L115" i="15" s="1"/>
  <c r="J114" i="24"/>
  <c r="I114" i="24"/>
  <c r="I114" i="15" s="1"/>
  <c r="H114" i="24"/>
  <c r="G114" i="24"/>
  <c r="F114" i="24"/>
  <c r="E114" i="24"/>
  <c r="E114" i="15" s="1"/>
  <c r="D114" i="24"/>
  <c r="C114" i="24"/>
  <c r="C114" i="15" s="1"/>
  <c r="N113" i="24"/>
  <c r="M113" i="24"/>
  <c r="L113" i="24"/>
  <c r="J113" i="24"/>
  <c r="I113" i="24"/>
  <c r="H113" i="24"/>
  <c r="H113" i="15" s="1"/>
  <c r="G113" i="24"/>
  <c r="G113" i="15" s="1"/>
  <c r="F113" i="24"/>
  <c r="F113" i="15" s="1"/>
  <c r="E113" i="24"/>
  <c r="E113" i="15" s="1"/>
  <c r="D113" i="24"/>
  <c r="D113" i="15" s="1"/>
  <c r="C113" i="24"/>
  <c r="C113" i="15" s="1"/>
  <c r="N112" i="24"/>
  <c r="M112" i="24"/>
  <c r="L112" i="24"/>
  <c r="L113" i="15" s="1"/>
  <c r="J112" i="24"/>
  <c r="I112" i="24"/>
  <c r="H112" i="24"/>
  <c r="G112" i="24"/>
  <c r="F112" i="24"/>
  <c r="E112" i="24"/>
  <c r="D112" i="24"/>
  <c r="C112" i="24"/>
  <c r="N111" i="24"/>
  <c r="M111" i="24"/>
  <c r="L111" i="24"/>
  <c r="J111" i="24"/>
  <c r="I111" i="24"/>
  <c r="I111" i="15" s="1"/>
  <c r="H111" i="24"/>
  <c r="G111" i="24"/>
  <c r="F111" i="24"/>
  <c r="F111" i="15" s="1"/>
  <c r="E111" i="24"/>
  <c r="E111" i="15" s="1"/>
  <c r="D111" i="24"/>
  <c r="C111" i="24"/>
  <c r="C111" i="15" s="1"/>
  <c r="N110" i="24"/>
  <c r="M110" i="24"/>
  <c r="L110" i="24"/>
  <c r="J110" i="24"/>
  <c r="I110" i="24"/>
  <c r="H110" i="24"/>
  <c r="G110" i="24"/>
  <c r="F110" i="24"/>
  <c r="F110" i="15" s="1"/>
  <c r="E110" i="24"/>
  <c r="E110" i="15" s="1"/>
  <c r="D110" i="24"/>
  <c r="C110" i="24"/>
  <c r="N109" i="24"/>
  <c r="M109" i="24"/>
  <c r="L109" i="24"/>
  <c r="J109" i="24"/>
  <c r="I109" i="24"/>
  <c r="H109" i="24"/>
  <c r="H109" i="15" s="1"/>
  <c r="G109" i="24"/>
  <c r="F109" i="24"/>
  <c r="F109" i="15" s="1"/>
  <c r="E109" i="24"/>
  <c r="E109" i="15" s="1"/>
  <c r="D109" i="24"/>
  <c r="D109" i="15" s="1"/>
  <c r="C109" i="24"/>
  <c r="C109" i="15" s="1"/>
  <c r="N108" i="24"/>
  <c r="M108" i="24"/>
  <c r="L108" i="24"/>
  <c r="L109" i="15" s="1"/>
  <c r="J108" i="24"/>
  <c r="I108" i="24"/>
  <c r="I108" i="15" s="1"/>
  <c r="H108" i="24"/>
  <c r="G108" i="24"/>
  <c r="F108" i="24"/>
  <c r="E108" i="24"/>
  <c r="D108" i="24"/>
  <c r="C108" i="24"/>
  <c r="C108" i="15" s="1"/>
  <c r="N107" i="24"/>
  <c r="M107" i="24"/>
  <c r="L107" i="24"/>
  <c r="J107" i="24"/>
  <c r="I107" i="24"/>
  <c r="H107" i="24"/>
  <c r="H107" i="15" s="1"/>
  <c r="G107" i="24"/>
  <c r="F107" i="24"/>
  <c r="F107" i="15" s="1"/>
  <c r="E107" i="24"/>
  <c r="E107" i="15" s="1"/>
  <c r="D107" i="24"/>
  <c r="D107" i="15" s="1"/>
  <c r="C107" i="24"/>
  <c r="C107" i="15" s="1"/>
  <c r="N106" i="24"/>
  <c r="M106" i="24"/>
  <c r="L106" i="24"/>
  <c r="L107" i="15" s="1"/>
  <c r="J106" i="24"/>
  <c r="I106" i="24"/>
  <c r="H106" i="24"/>
  <c r="G106" i="24"/>
  <c r="F106" i="24"/>
  <c r="E106" i="24"/>
  <c r="E106" i="15" s="1"/>
  <c r="D106" i="24"/>
  <c r="C106" i="24"/>
  <c r="C106" i="15" s="1"/>
  <c r="N105" i="24"/>
  <c r="M105" i="24"/>
  <c r="L105" i="24"/>
  <c r="J105" i="24"/>
  <c r="I105" i="24"/>
  <c r="I105" i="15" s="1"/>
  <c r="H105" i="24"/>
  <c r="G105" i="24"/>
  <c r="G105" i="15" s="1"/>
  <c r="F105" i="24"/>
  <c r="F105" i="15" s="1"/>
  <c r="E105" i="24"/>
  <c r="E105" i="15" s="1"/>
  <c r="D105" i="24"/>
  <c r="D105" i="15" s="1"/>
  <c r="C105" i="24"/>
  <c r="C105" i="15" s="1"/>
  <c r="N104" i="24"/>
  <c r="M104" i="24"/>
  <c r="L104" i="24"/>
  <c r="J104" i="24"/>
  <c r="I104" i="24"/>
  <c r="H104" i="24"/>
  <c r="G104" i="24"/>
  <c r="F104" i="24"/>
  <c r="F104" i="15" s="1"/>
  <c r="E104" i="24"/>
  <c r="E104" i="15" s="1"/>
  <c r="D104" i="24"/>
  <c r="C104" i="24"/>
  <c r="N103" i="24"/>
  <c r="M103" i="24"/>
  <c r="L103" i="24"/>
  <c r="J103" i="24"/>
  <c r="I103" i="24"/>
  <c r="H103" i="24"/>
  <c r="G103" i="24"/>
  <c r="F103" i="24"/>
  <c r="F103" i="15" s="1"/>
  <c r="E103" i="24"/>
  <c r="E103" i="15" s="1"/>
  <c r="D103" i="24"/>
  <c r="D103" i="15" s="1"/>
  <c r="C103" i="24"/>
  <c r="N102" i="24"/>
  <c r="M102" i="24"/>
  <c r="L102" i="24"/>
  <c r="L103" i="15" s="1"/>
  <c r="J102" i="24"/>
  <c r="I102" i="24"/>
  <c r="H102" i="24"/>
  <c r="G102" i="24"/>
  <c r="F102" i="24"/>
  <c r="E102" i="24"/>
  <c r="E102" i="15" s="1"/>
  <c r="D102" i="24"/>
  <c r="C102" i="24"/>
  <c r="C102" i="15" s="1"/>
  <c r="N101" i="24"/>
  <c r="M101" i="24"/>
  <c r="L101" i="24"/>
  <c r="L101" i="15" s="1"/>
  <c r="J101" i="24"/>
  <c r="I101" i="24"/>
  <c r="H101" i="24"/>
  <c r="H101" i="15" s="1"/>
  <c r="G101" i="24"/>
  <c r="G101" i="15" s="1"/>
  <c r="F101" i="24"/>
  <c r="F101" i="15" s="1"/>
  <c r="E101" i="24"/>
  <c r="E101" i="15" s="1"/>
  <c r="D101" i="24"/>
  <c r="D101" i="15" s="1"/>
  <c r="C101" i="24"/>
  <c r="C101" i="15" s="1"/>
  <c r="N100" i="24"/>
  <c r="M100" i="24"/>
  <c r="L100" i="24"/>
  <c r="L100" i="15" s="1"/>
  <c r="J100" i="24"/>
  <c r="I100" i="24"/>
  <c r="H100" i="24"/>
  <c r="G100" i="24"/>
  <c r="F100" i="24"/>
  <c r="F100" i="15" s="1"/>
  <c r="E100" i="24"/>
  <c r="D100" i="24"/>
  <c r="C100" i="24"/>
  <c r="N99" i="24"/>
  <c r="M99" i="24"/>
  <c r="L99" i="24"/>
  <c r="L99" i="15" s="1"/>
  <c r="J99" i="24"/>
  <c r="I99" i="24"/>
  <c r="I100" i="15" s="1"/>
  <c r="H99" i="24"/>
  <c r="G99" i="24"/>
  <c r="G99" i="15" s="1"/>
  <c r="F99" i="24"/>
  <c r="F99" i="15" s="1"/>
  <c r="E99" i="24"/>
  <c r="D99" i="24"/>
  <c r="D99" i="15" s="1"/>
  <c r="C99" i="24"/>
  <c r="C99" i="15" s="1"/>
  <c r="N98" i="24"/>
  <c r="M98" i="24"/>
  <c r="L98" i="24"/>
  <c r="L98" i="15" s="1"/>
  <c r="J98" i="24"/>
  <c r="I98" i="24"/>
  <c r="I98" i="15" s="1"/>
  <c r="H98" i="24"/>
  <c r="G98" i="24"/>
  <c r="F98" i="24"/>
  <c r="F98" i="15" s="1"/>
  <c r="E98" i="24"/>
  <c r="E98" i="15" s="1"/>
  <c r="D98" i="24"/>
  <c r="C98" i="24"/>
  <c r="N97" i="24"/>
  <c r="M97" i="24"/>
  <c r="L97" i="24"/>
  <c r="L97" i="15" s="1"/>
  <c r="J97" i="24"/>
  <c r="I97" i="24"/>
  <c r="I97" i="15" s="1"/>
  <c r="H97" i="24"/>
  <c r="H97" i="15" s="1"/>
  <c r="G97" i="24"/>
  <c r="F97" i="24"/>
  <c r="E97" i="24"/>
  <c r="D97" i="24"/>
  <c r="C97" i="24"/>
  <c r="C97" i="15" s="1"/>
  <c r="N96" i="24"/>
  <c r="M96" i="24"/>
  <c r="L96" i="24"/>
  <c r="L96" i="15" s="1"/>
  <c r="J96" i="24"/>
  <c r="I96" i="24"/>
  <c r="I96" i="15" s="1"/>
  <c r="H96" i="24"/>
  <c r="G96" i="24"/>
  <c r="G96" i="15" s="1"/>
  <c r="F96" i="24"/>
  <c r="F96" i="15" s="1"/>
  <c r="E96" i="24"/>
  <c r="E96" i="15" s="1"/>
  <c r="D96" i="24"/>
  <c r="C96" i="24"/>
  <c r="N95" i="24"/>
  <c r="M95" i="24"/>
  <c r="L95" i="24"/>
  <c r="J95" i="24"/>
  <c r="J95" i="15" s="1"/>
  <c r="I95" i="24"/>
  <c r="H95" i="24"/>
  <c r="G95" i="24"/>
  <c r="F95" i="24"/>
  <c r="F95" i="15" s="1"/>
  <c r="E95" i="24"/>
  <c r="D95" i="24"/>
  <c r="D95" i="15" s="1"/>
  <c r="C95" i="24"/>
  <c r="C95" i="15" s="1"/>
  <c r="N94" i="24"/>
  <c r="M94" i="24"/>
  <c r="L94" i="24"/>
  <c r="L94" i="15" s="1"/>
  <c r="J94" i="24"/>
  <c r="I94" i="24"/>
  <c r="H94" i="24"/>
  <c r="G94" i="24"/>
  <c r="F94" i="24"/>
  <c r="F94" i="15" s="1"/>
  <c r="E94" i="24"/>
  <c r="E94" i="15" s="1"/>
  <c r="D94" i="24"/>
  <c r="C94" i="24"/>
  <c r="N93" i="24"/>
  <c r="M93" i="24"/>
  <c r="L93" i="24"/>
  <c r="L93" i="15" s="1"/>
  <c r="J93" i="24"/>
  <c r="I93" i="24"/>
  <c r="H93" i="24"/>
  <c r="H93" i="15" s="1"/>
  <c r="G93" i="24"/>
  <c r="F93" i="24"/>
  <c r="E93" i="24"/>
  <c r="D93" i="24"/>
  <c r="C93" i="24"/>
  <c r="C93" i="15" s="1"/>
  <c r="N92" i="24"/>
  <c r="M92" i="24"/>
  <c r="L92" i="24"/>
  <c r="L92" i="15" s="1"/>
  <c r="J92" i="24"/>
  <c r="I92" i="24"/>
  <c r="H92" i="24"/>
  <c r="G92" i="24"/>
  <c r="F92" i="24"/>
  <c r="F92" i="15" s="1"/>
  <c r="E92" i="24"/>
  <c r="D92" i="24"/>
  <c r="C92" i="24"/>
  <c r="N91" i="24"/>
  <c r="M91" i="24"/>
  <c r="L91" i="24"/>
  <c r="J91" i="24"/>
  <c r="I91" i="24"/>
  <c r="I92" i="15" s="1"/>
  <c r="H91" i="24"/>
  <c r="G91" i="24"/>
  <c r="F91" i="24"/>
  <c r="F91" i="15" s="1"/>
  <c r="E91" i="24"/>
  <c r="E91" i="15" s="1"/>
  <c r="D91" i="24"/>
  <c r="D91" i="15" s="1"/>
  <c r="C91" i="24"/>
  <c r="C91" i="15" s="1"/>
  <c r="N90" i="24"/>
  <c r="M90" i="24"/>
  <c r="L90" i="24"/>
  <c r="J90" i="24"/>
  <c r="I90" i="24"/>
  <c r="H90" i="24"/>
  <c r="H90" i="15" s="1"/>
  <c r="G90" i="24"/>
  <c r="G90" i="15" s="1"/>
  <c r="F90" i="24"/>
  <c r="F90" i="15" s="1"/>
  <c r="E90" i="24"/>
  <c r="E90" i="15" s="1"/>
  <c r="D90" i="24"/>
  <c r="C90" i="24"/>
  <c r="N89" i="24"/>
  <c r="M89" i="24"/>
  <c r="L89" i="24"/>
  <c r="J89" i="24"/>
  <c r="I89" i="24"/>
  <c r="I90" i="15" s="1"/>
  <c r="H89" i="24"/>
  <c r="H89" i="15" s="1"/>
  <c r="G89" i="24"/>
  <c r="F89" i="24"/>
  <c r="E89" i="24"/>
  <c r="D89" i="24"/>
  <c r="D89" i="15" s="1"/>
  <c r="C89" i="24"/>
  <c r="N88" i="24"/>
  <c r="M88" i="24"/>
  <c r="L88" i="24"/>
  <c r="L89" i="15" s="1"/>
  <c r="J88" i="24"/>
  <c r="I88" i="24"/>
  <c r="I88" i="15" s="1"/>
  <c r="H88" i="24"/>
  <c r="G88" i="24"/>
  <c r="F88" i="24"/>
  <c r="F88" i="15" s="1"/>
  <c r="E88" i="24"/>
  <c r="D88" i="24"/>
  <c r="C88" i="24"/>
  <c r="C88" i="15" s="1"/>
  <c r="N87" i="24"/>
  <c r="M87" i="24"/>
  <c r="L87" i="24"/>
  <c r="J87" i="24"/>
  <c r="I87" i="24"/>
  <c r="H87" i="24"/>
  <c r="G87" i="24"/>
  <c r="G87" i="15" s="1"/>
  <c r="F87" i="24"/>
  <c r="F87" i="15" s="1"/>
  <c r="E87" i="24"/>
  <c r="E87" i="15" s="1"/>
  <c r="D87" i="24"/>
  <c r="C87" i="24"/>
  <c r="C87" i="15" s="1"/>
  <c r="N86" i="24"/>
  <c r="M86" i="24"/>
  <c r="L86" i="24"/>
  <c r="L87" i="15" s="1"/>
  <c r="J86" i="24"/>
  <c r="I86" i="24"/>
  <c r="H86" i="24"/>
  <c r="G86" i="24"/>
  <c r="G86" i="15" s="1"/>
  <c r="F86" i="24"/>
  <c r="F86" i="15" s="1"/>
  <c r="E86" i="24"/>
  <c r="E86" i="15" s="1"/>
  <c r="D86" i="24"/>
  <c r="C86" i="24"/>
  <c r="N85" i="24"/>
  <c r="M85" i="24"/>
  <c r="L85" i="24"/>
  <c r="J85" i="24"/>
  <c r="J85" i="15" s="1"/>
  <c r="I85" i="24"/>
  <c r="I85" i="15" s="1"/>
  <c r="H85" i="24"/>
  <c r="G85" i="24"/>
  <c r="G85" i="15" s="1"/>
  <c r="F85" i="24"/>
  <c r="E85" i="24"/>
  <c r="E85" i="15" s="1"/>
  <c r="D85" i="24"/>
  <c r="D85" i="15" s="1"/>
  <c r="C85" i="24"/>
  <c r="C85" i="15" s="1"/>
  <c r="N84" i="24"/>
  <c r="M84" i="24"/>
  <c r="L84" i="24"/>
  <c r="J84" i="24"/>
  <c r="I84" i="24"/>
  <c r="I84" i="15" s="1"/>
  <c r="H84" i="24"/>
  <c r="H84" i="15" s="1"/>
  <c r="G84" i="24"/>
  <c r="F84" i="24"/>
  <c r="F84" i="15" s="1"/>
  <c r="E84" i="24"/>
  <c r="D84" i="24"/>
  <c r="C84" i="24"/>
  <c r="N83" i="24"/>
  <c r="M83" i="24"/>
  <c r="L83" i="24"/>
  <c r="J83" i="24"/>
  <c r="I83" i="24"/>
  <c r="I83" i="15" s="1"/>
  <c r="H83" i="24"/>
  <c r="G83" i="24"/>
  <c r="G83" i="15" s="1"/>
  <c r="F83" i="24"/>
  <c r="F83" i="15" s="1"/>
  <c r="E83" i="24"/>
  <c r="D83" i="24"/>
  <c r="D83" i="15" s="1"/>
  <c r="C83" i="24"/>
  <c r="C83" i="15" s="1"/>
  <c r="N82" i="24"/>
  <c r="M82" i="24"/>
  <c r="L82" i="24"/>
  <c r="L83" i="15" s="1"/>
  <c r="J82" i="24"/>
  <c r="I82" i="24"/>
  <c r="H82" i="24"/>
  <c r="G82" i="24"/>
  <c r="F82" i="24"/>
  <c r="F82" i="15" s="1"/>
  <c r="E82" i="24"/>
  <c r="E82" i="15" s="1"/>
  <c r="D82" i="24"/>
  <c r="C82" i="24"/>
  <c r="N81" i="24"/>
  <c r="M81" i="24"/>
  <c r="L81" i="24"/>
  <c r="J81" i="24"/>
  <c r="I81" i="24"/>
  <c r="H81" i="24"/>
  <c r="G81" i="24"/>
  <c r="F81" i="24"/>
  <c r="E81" i="24"/>
  <c r="D81" i="24"/>
  <c r="D81" i="15" s="1"/>
  <c r="C81" i="24"/>
  <c r="C81" i="15" s="1"/>
  <c r="N80" i="24"/>
  <c r="M80" i="24"/>
  <c r="L80" i="24"/>
  <c r="L81" i="15" s="1"/>
  <c r="J80" i="24"/>
  <c r="I80" i="24"/>
  <c r="H80" i="24"/>
  <c r="G80" i="24"/>
  <c r="G80" i="15" s="1"/>
  <c r="F80" i="24"/>
  <c r="E80" i="24"/>
  <c r="E80" i="15" s="1"/>
  <c r="D80" i="24"/>
  <c r="C80" i="24"/>
  <c r="N79" i="24"/>
  <c r="M79" i="24"/>
  <c r="L79" i="24"/>
  <c r="L79" i="15" s="1"/>
  <c r="J79" i="24"/>
  <c r="I79" i="24"/>
  <c r="I79" i="15" s="1"/>
  <c r="H79" i="24"/>
  <c r="H79" i="15" s="1"/>
  <c r="G79" i="24"/>
  <c r="G79" i="15" s="1"/>
  <c r="F79" i="24"/>
  <c r="F79" i="15" s="1"/>
  <c r="E79" i="24"/>
  <c r="E79" i="15" s="1"/>
  <c r="D79" i="24"/>
  <c r="D79" i="15" s="1"/>
  <c r="C79" i="24"/>
  <c r="C79" i="15" s="1"/>
  <c r="N78" i="24"/>
  <c r="M78" i="24"/>
  <c r="L78" i="24"/>
  <c r="L78" i="15" s="1"/>
  <c r="J78" i="24"/>
  <c r="I78" i="24"/>
  <c r="H78" i="24"/>
  <c r="G78" i="24"/>
  <c r="F78" i="24"/>
  <c r="E78" i="24"/>
  <c r="D78" i="24"/>
  <c r="C78" i="24"/>
  <c r="C78" i="15" s="1"/>
  <c r="N77" i="24"/>
  <c r="M77" i="24"/>
  <c r="L77" i="24"/>
  <c r="L77" i="15" s="1"/>
  <c r="J77" i="24"/>
  <c r="I77" i="24"/>
  <c r="I78" i="15" s="1"/>
  <c r="H77" i="24"/>
  <c r="G77" i="24"/>
  <c r="F77" i="24"/>
  <c r="E77" i="24"/>
  <c r="E77" i="15" s="1"/>
  <c r="D77" i="24"/>
  <c r="D77" i="15" s="1"/>
  <c r="C77" i="24"/>
  <c r="N76" i="24"/>
  <c r="M76" i="24"/>
  <c r="L76" i="24"/>
  <c r="L76" i="15" s="1"/>
  <c r="J76" i="24"/>
  <c r="I76" i="24"/>
  <c r="I76" i="15" s="1"/>
  <c r="H76" i="24"/>
  <c r="H76" i="15" s="1"/>
  <c r="G76" i="24"/>
  <c r="G76" i="15" s="1"/>
  <c r="F76" i="24"/>
  <c r="F76" i="15" s="1"/>
  <c r="E76" i="24"/>
  <c r="E76" i="15" s="1"/>
  <c r="D76" i="24"/>
  <c r="C76" i="24"/>
  <c r="N75" i="24"/>
  <c r="M75" i="24"/>
  <c r="L75" i="24"/>
  <c r="L75" i="15" s="1"/>
  <c r="J75" i="24"/>
  <c r="I75" i="24"/>
  <c r="I75" i="15" s="1"/>
  <c r="H75" i="24"/>
  <c r="H75" i="15" s="1"/>
  <c r="G75" i="24"/>
  <c r="F75" i="24"/>
  <c r="E75" i="24"/>
  <c r="D75" i="24"/>
  <c r="C75" i="24"/>
  <c r="N74" i="24"/>
  <c r="M74" i="24"/>
  <c r="L74" i="24"/>
  <c r="L74" i="15" s="1"/>
  <c r="J74" i="24"/>
  <c r="I74" i="24"/>
  <c r="H74" i="24"/>
  <c r="G74" i="24"/>
  <c r="G74" i="15" s="1"/>
  <c r="F74" i="24"/>
  <c r="F74" i="15" s="1"/>
  <c r="E74" i="24"/>
  <c r="E74" i="15" s="1"/>
  <c r="D74" i="24"/>
  <c r="D74" i="15" s="1"/>
  <c r="C74" i="24"/>
  <c r="C74" i="15" s="1"/>
  <c r="N73" i="24"/>
  <c r="M73" i="24"/>
  <c r="L73" i="24"/>
  <c r="J73" i="24"/>
  <c r="I73" i="24"/>
  <c r="H73" i="24"/>
  <c r="G73" i="24"/>
  <c r="F73" i="24"/>
  <c r="E73" i="24"/>
  <c r="D73" i="24"/>
  <c r="D73" i="15" s="1"/>
  <c r="C73" i="24"/>
  <c r="C73" i="15" s="1"/>
  <c r="N72" i="24"/>
  <c r="M72" i="24"/>
  <c r="L72" i="24"/>
  <c r="L72" i="15" s="1"/>
  <c r="J72" i="24"/>
  <c r="I72" i="24"/>
  <c r="I72" i="15" s="1"/>
  <c r="H72" i="24"/>
  <c r="G72" i="24"/>
  <c r="F72" i="24"/>
  <c r="F72" i="15" s="1"/>
  <c r="E72" i="24"/>
  <c r="E72" i="15" s="1"/>
  <c r="D72" i="24"/>
  <c r="C72" i="24"/>
  <c r="N71" i="24"/>
  <c r="M71" i="24"/>
  <c r="L71" i="24"/>
  <c r="J71" i="24"/>
  <c r="I71" i="24"/>
  <c r="I71" i="15" s="1"/>
  <c r="H71" i="24"/>
  <c r="H71" i="15" s="1"/>
  <c r="G71" i="24"/>
  <c r="F71" i="24"/>
  <c r="F71" i="15" s="1"/>
  <c r="E71" i="24"/>
  <c r="E71" i="15" s="1"/>
  <c r="D71" i="24"/>
  <c r="D71" i="15" s="1"/>
  <c r="C71" i="24"/>
  <c r="N70" i="24"/>
  <c r="M70" i="24"/>
  <c r="L70" i="24"/>
  <c r="L71" i="15" s="1"/>
  <c r="J70" i="24"/>
  <c r="I70" i="24"/>
  <c r="H70" i="24"/>
  <c r="G70" i="24"/>
  <c r="F70" i="24"/>
  <c r="F70" i="15" s="1"/>
  <c r="E70" i="24"/>
  <c r="E70" i="15" s="1"/>
  <c r="D70" i="24"/>
  <c r="C70" i="24"/>
  <c r="N69" i="24"/>
  <c r="M69" i="24"/>
  <c r="L69" i="24"/>
  <c r="J69" i="24"/>
  <c r="I69" i="24"/>
  <c r="H69" i="24"/>
  <c r="G69" i="24"/>
  <c r="F69" i="24"/>
  <c r="E69" i="24"/>
  <c r="D69" i="24"/>
  <c r="D69" i="15" s="1"/>
  <c r="C69" i="24"/>
  <c r="C69" i="15" s="1"/>
  <c r="N68" i="24"/>
  <c r="M68" i="24"/>
  <c r="L68" i="24"/>
  <c r="L69" i="15" s="1"/>
  <c r="J68" i="24"/>
  <c r="I68" i="24"/>
  <c r="I68" i="15" s="1"/>
  <c r="H68" i="24"/>
  <c r="H68" i="15" s="1"/>
  <c r="G68" i="24"/>
  <c r="F68" i="24"/>
  <c r="F68" i="15" s="1"/>
  <c r="E68" i="24"/>
  <c r="E68" i="15" s="1"/>
  <c r="D68" i="24"/>
  <c r="D68" i="15" s="1"/>
  <c r="C68" i="24"/>
  <c r="N67" i="24"/>
  <c r="M67" i="24"/>
  <c r="L67" i="24"/>
  <c r="J67" i="24"/>
  <c r="I67" i="24"/>
  <c r="I67" i="15" s="1"/>
  <c r="H67" i="24"/>
  <c r="H67" i="15" s="1"/>
  <c r="G67" i="24"/>
  <c r="G67" i="15" s="1"/>
  <c r="F67" i="24"/>
  <c r="E67" i="24"/>
  <c r="D67" i="24"/>
  <c r="C67" i="24"/>
  <c r="N66" i="24"/>
  <c r="M66" i="24"/>
  <c r="L66" i="24"/>
  <c r="J66" i="24"/>
  <c r="I66" i="24"/>
  <c r="H66" i="24"/>
  <c r="G66" i="24"/>
  <c r="F66" i="24"/>
  <c r="F66" i="15" s="1"/>
  <c r="E66" i="24"/>
  <c r="E66" i="15" s="1"/>
  <c r="D66" i="24"/>
  <c r="C66" i="24"/>
  <c r="N65" i="24"/>
  <c r="M65" i="24"/>
  <c r="L65" i="24"/>
  <c r="J65" i="24"/>
  <c r="I65" i="24"/>
  <c r="I66" i="15" s="1"/>
  <c r="H65" i="24"/>
  <c r="H65" i="15" s="1"/>
  <c r="G65" i="24"/>
  <c r="G65" i="15" s="1"/>
  <c r="F65" i="24"/>
  <c r="E65" i="24"/>
  <c r="E65" i="15" s="1"/>
  <c r="D65" i="24"/>
  <c r="D65" i="15" s="1"/>
  <c r="C65" i="24"/>
  <c r="C65" i="15" s="1"/>
  <c r="N64" i="24"/>
  <c r="M64" i="24"/>
  <c r="L64" i="24"/>
  <c r="L65" i="15" s="1"/>
  <c r="J64" i="24"/>
  <c r="I64" i="24"/>
  <c r="I64" i="15" s="1"/>
  <c r="H64" i="24"/>
  <c r="G64" i="24"/>
  <c r="F64" i="24"/>
  <c r="F64" i="15" s="1"/>
  <c r="E64" i="24"/>
  <c r="E64" i="15" s="1"/>
  <c r="D64" i="24"/>
  <c r="C64" i="24"/>
  <c r="N63" i="24"/>
  <c r="M63" i="24"/>
  <c r="L63" i="24"/>
  <c r="J63" i="24"/>
  <c r="I63" i="24"/>
  <c r="H63" i="24"/>
  <c r="G63" i="24"/>
  <c r="F63" i="24"/>
  <c r="E63" i="24"/>
  <c r="E63" i="15" s="1"/>
  <c r="D63" i="24"/>
  <c r="C63" i="24"/>
  <c r="N62" i="24"/>
  <c r="M62" i="24"/>
  <c r="L62" i="24"/>
  <c r="L63" i="15" s="1"/>
  <c r="J62" i="24"/>
  <c r="I62" i="24"/>
  <c r="I62" i="15" s="1"/>
  <c r="H62" i="24"/>
  <c r="G62" i="24"/>
  <c r="F62" i="24"/>
  <c r="F63" i="15" s="1"/>
  <c r="E62" i="24"/>
  <c r="E62" i="15" s="1"/>
  <c r="D62" i="24"/>
  <c r="C62" i="24"/>
  <c r="N61" i="24"/>
  <c r="M61" i="24"/>
  <c r="L61" i="24"/>
  <c r="J61" i="24"/>
  <c r="I61" i="24"/>
  <c r="H61" i="24"/>
  <c r="H62" i="15" s="1"/>
  <c r="G61" i="24"/>
  <c r="G62" i="15" s="1"/>
  <c r="F61" i="24"/>
  <c r="F61" i="15" s="1"/>
  <c r="E61" i="24"/>
  <c r="E61" i="15" s="1"/>
  <c r="D61" i="24"/>
  <c r="C61" i="24"/>
  <c r="N60" i="24"/>
  <c r="M60" i="24"/>
  <c r="L60" i="24"/>
  <c r="J60" i="24"/>
  <c r="I60" i="24"/>
  <c r="H60" i="24"/>
  <c r="G60" i="24"/>
  <c r="F60" i="24"/>
  <c r="E60" i="24"/>
  <c r="D60" i="24"/>
  <c r="D60" i="15" s="1"/>
  <c r="C60" i="24"/>
  <c r="C60" i="15" s="1"/>
  <c r="N59" i="24"/>
  <c r="M59" i="24"/>
  <c r="L59" i="24"/>
  <c r="J59" i="24"/>
  <c r="I59" i="24"/>
  <c r="I60" i="15" s="1"/>
  <c r="H59" i="24"/>
  <c r="G59" i="24"/>
  <c r="G60" i="15" s="1"/>
  <c r="F59" i="24"/>
  <c r="E59" i="24"/>
  <c r="D59" i="24"/>
  <c r="C59" i="24"/>
  <c r="N58" i="24"/>
  <c r="M58" i="24"/>
  <c r="L58" i="24"/>
  <c r="L59" i="15" s="1"/>
  <c r="J58" i="24"/>
  <c r="I58" i="24"/>
  <c r="H58" i="24"/>
  <c r="H58" i="15" s="1"/>
  <c r="G58" i="24"/>
  <c r="F58" i="24"/>
  <c r="F58" i="15" s="1"/>
  <c r="E58" i="24"/>
  <c r="E59" i="15" s="1"/>
  <c r="D58" i="24"/>
  <c r="D58" i="15" s="1"/>
  <c r="C58" i="24"/>
  <c r="N57" i="24"/>
  <c r="M57" i="24"/>
  <c r="L57" i="24"/>
  <c r="J57" i="24"/>
  <c r="I57" i="24"/>
  <c r="H57" i="24"/>
  <c r="G57" i="24"/>
  <c r="G58" i="15" s="1"/>
  <c r="F57" i="24"/>
  <c r="F57" i="15" s="1"/>
  <c r="E57" i="24"/>
  <c r="E57" i="15" s="1"/>
  <c r="D57" i="24"/>
  <c r="C57" i="24"/>
  <c r="C58" i="15" s="1"/>
  <c r="N56" i="24"/>
  <c r="M56" i="24"/>
  <c r="L56" i="24"/>
  <c r="L56" i="15" s="1"/>
  <c r="J56" i="24"/>
  <c r="I56" i="24"/>
  <c r="H56" i="24"/>
  <c r="G56" i="24"/>
  <c r="F56" i="24"/>
  <c r="E56" i="24"/>
  <c r="D56" i="24"/>
  <c r="D56" i="15" s="1"/>
  <c r="C56" i="24"/>
  <c r="C56" i="15" s="1"/>
  <c r="N55" i="24"/>
  <c r="M55" i="24"/>
  <c r="L55" i="24"/>
  <c r="L55" i="15" s="1"/>
  <c r="J55" i="24"/>
  <c r="I55" i="24"/>
  <c r="I56" i="15" s="1"/>
  <c r="H55" i="24"/>
  <c r="H56" i="15" s="1"/>
  <c r="G55" i="24"/>
  <c r="G56" i="15" s="1"/>
  <c r="F55" i="24"/>
  <c r="E55" i="24"/>
  <c r="D55" i="24"/>
  <c r="D55" i="15" s="1"/>
  <c r="C55" i="24"/>
  <c r="N54" i="24"/>
  <c r="M54" i="24"/>
  <c r="L54" i="24"/>
  <c r="J54" i="24"/>
  <c r="I54" i="24"/>
  <c r="H54" i="24"/>
  <c r="G54" i="24"/>
  <c r="F54" i="24"/>
  <c r="E54" i="24"/>
  <c r="E55" i="15" s="1"/>
  <c r="D54" i="24"/>
  <c r="C54" i="24"/>
  <c r="N53" i="24"/>
  <c r="M53" i="24"/>
  <c r="L53" i="24"/>
  <c r="J53" i="24"/>
  <c r="I53" i="24"/>
  <c r="I53" i="15" s="1"/>
  <c r="H53" i="24"/>
  <c r="H54" i="15" s="1"/>
  <c r="G53" i="24"/>
  <c r="G54" i="15" s="1"/>
  <c r="F53" i="24"/>
  <c r="F53" i="15" s="1"/>
  <c r="E53" i="24"/>
  <c r="E53" i="15" s="1"/>
  <c r="D53" i="24"/>
  <c r="C53" i="24"/>
  <c r="C54" i="15" s="1"/>
  <c r="N52" i="24"/>
  <c r="M52" i="24"/>
  <c r="L52" i="24"/>
  <c r="L52" i="15" s="1"/>
  <c r="J52" i="24"/>
  <c r="I52" i="24"/>
  <c r="H52" i="24"/>
  <c r="G52" i="24"/>
  <c r="F52" i="24"/>
  <c r="E52" i="24"/>
  <c r="E52" i="15" s="1"/>
  <c r="D52" i="24"/>
  <c r="D52" i="15" s="1"/>
  <c r="C52" i="24"/>
  <c r="N51" i="24"/>
  <c r="M51" i="24"/>
  <c r="L51" i="24"/>
  <c r="L51" i="15" s="1"/>
  <c r="J51" i="24"/>
  <c r="I51" i="24"/>
  <c r="I52" i="15" s="1"/>
  <c r="H51" i="24"/>
  <c r="H52" i="15" s="1"/>
  <c r="G51" i="24"/>
  <c r="G52" i="15" s="1"/>
  <c r="F51" i="24"/>
  <c r="E51" i="24"/>
  <c r="E51" i="15" s="1"/>
  <c r="D51" i="24"/>
  <c r="D51" i="15" s="1"/>
  <c r="C51" i="24"/>
  <c r="N50" i="24"/>
  <c r="N50" i="15" s="1"/>
  <c r="M50" i="24"/>
  <c r="M50" i="15" s="1"/>
  <c r="L50" i="24"/>
  <c r="L50" i="15" s="1"/>
  <c r="J50" i="24"/>
  <c r="I50" i="24"/>
  <c r="I50" i="15" s="1"/>
  <c r="H50" i="24"/>
  <c r="G50" i="24"/>
  <c r="G50" i="15" s="1"/>
  <c r="F50" i="24"/>
  <c r="F51" i="15" s="1"/>
  <c r="E50" i="24"/>
  <c r="E50" i="15" s="1"/>
  <c r="D50" i="24"/>
  <c r="C50" i="24"/>
  <c r="H50" i="15"/>
  <c r="D50" i="15"/>
  <c r="C50" i="15"/>
  <c r="N49" i="24"/>
  <c r="N49" i="15" s="1"/>
  <c r="M49" i="24"/>
  <c r="M49" i="15" s="1"/>
  <c r="L49" i="24"/>
  <c r="L49" i="15" s="1"/>
  <c r="J49" i="24"/>
  <c r="J49" i="15" s="1"/>
  <c r="I49" i="24"/>
  <c r="I49" i="15" s="1"/>
  <c r="H49" i="24"/>
  <c r="H49" i="15" s="1"/>
  <c r="G49" i="24"/>
  <c r="G49" i="15" s="1"/>
  <c r="F49" i="24"/>
  <c r="F49" i="15" s="1"/>
  <c r="E49" i="24"/>
  <c r="E49" i="15" s="1"/>
  <c r="D49" i="24"/>
  <c r="D49" i="15" s="1"/>
  <c r="C49" i="24"/>
  <c r="C49" i="15" s="1"/>
  <c r="N48" i="24"/>
  <c r="N48" i="15" s="1"/>
  <c r="M48" i="24"/>
  <c r="M48" i="15" s="1"/>
  <c r="L48" i="24"/>
  <c r="J48" i="24"/>
  <c r="J48" i="15" s="1"/>
  <c r="I48" i="24"/>
  <c r="I48" i="15" s="1"/>
  <c r="H48" i="24"/>
  <c r="H48" i="15" s="1"/>
  <c r="G48" i="24"/>
  <c r="G48" i="15" s="1"/>
  <c r="F48" i="24"/>
  <c r="F48" i="15" s="1"/>
  <c r="E48" i="24"/>
  <c r="E48" i="15" s="1"/>
  <c r="D48" i="24"/>
  <c r="D48" i="15" s="1"/>
  <c r="C48" i="24"/>
  <c r="C48" i="15" s="1"/>
  <c r="N47" i="24"/>
  <c r="N47" i="15" s="1"/>
  <c r="M47" i="24"/>
  <c r="M47" i="15" s="1"/>
  <c r="L47" i="24"/>
  <c r="L47" i="15" s="1"/>
  <c r="J47" i="24"/>
  <c r="J47" i="15" s="1"/>
  <c r="I47" i="24"/>
  <c r="I47" i="15" s="1"/>
  <c r="H47" i="24"/>
  <c r="H47" i="15" s="1"/>
  <c r="G47" i="24"/>
  <c r="G47" i="15" s="1"/>
  <c r="F47" i="24"/>
  <c r="F47" i="15" s="1"/>
  <c r="E47" i="24"/>
  <c r="E47" i="15" s="1"/>
  <c r="D47" i="24"/>
  <c r="D47" i="15" s="1"/>
  <c r="C47" i="24"/>
  <c r="C47" i="15" s="1"/>
  <c r="N46" i="24"/>
  <c r="N46" i="15" s="1"/>
  <c r="M46" i="24"/>
  <c r="M46" i="15" s="1"/>
  <c r="L46" i="24"/>
  <c r="J46" i="24"/>
  <c r="J46" i="15" s="1"/>
  <c r="I46" i="24"/>
  <c r="I46" i="15" s="1"/>
  <c r="H46" i="24"/>
  <c r="H46" i="15" s="1"/>
  <c r="G46" i="24"/>
  <c r="G46" i="15" s="1"/>
  <c r="F46" i="24"/>
  <c r="F46" i="15" s="1"/>
  <c r="E46" i="24"/>
  <c r="E46" i="15" s="1"/>
  <c r="D46" i="24"/>
  <c r="D46" i="15" s="1"/>
  <c r="C46" i="24"/>
  <c r="C46" i="15" s="1"/>
  <c r="N45" i="24"/>
  <c r="N45" i="15" s="1"/>
  <c r="M45" i="24"/>
  <c r="M45" i="15" s="1"/>
  <c r="L45" i="24"/>
  <c r="L45" i="15" s="1"/>
  <c r="J45" i="24"/>
  <c r="J45" i="15" s="1"/>
  <c r="I45" i="24"/>
  <c r="I45" i="15" s="1"/>
  <c r="H45" i="24"/>
  <c r="H45" i="15" s="1"/>
  <c r="G45" i="24"/>
  <c r="G45" i="15" s="1"/>
  <c r="F45" i="24"/>
  <c r="F45" i="15" s="1"/>
  <c r="E45" i="24"/>
  <c r="E45" i="15" s="1"/>
  <c r="D45" i="24"/>
  <c r="D45" i="15" s="1"/>
  <c r="C45" i="24"/>
  <c r="C45" i="15" s="1"/>
  <c r="N44" i="24"/>
  <c r="N44" i="15" s="1"/>
  <c r="M44" i="24"/>
  <c r="M44" i="15" s="1"/>
  <c r="L44" i="24"/>
  <c r="J44" i="24"/>
  <c r="J44" i="15" s="1"/>
  <c r="I44" i="24"/>
  <c r="I44" i="15" s="1"/>
  <c r="H44" i="24"/>
  <c r="H44" i="15" s="1"/>
  <c r="G44" i="24"/>
  <c r="G44" i="15" s="1"/>
  <c r="F44" i="24"/>
  <c r="F44" i="15" s="1"/>
  <c r="E44" i="24"/>
  <c r="E44" i="15" s="1"/>
  <c r="D44" i="24"/>
  <c r="D44" i="15" s="1"/>
  <c r="C44" i="24"/>
  <c r="C44" i="15" s="1"/>
  <c r="N43" i="24"/>
  <c r="N43" i="15" s="1"/>
  <c r="M43" i="24"/>
  <c r="M43" i="15" s="1"/>
  <c r="L43" i="24"/>
  <c r="L43" i="15" s="1"/>
  <c r="J43" i="24"/>
  <c r="J43" i="15" s="1"/>
  <c r="I43" i="24"/>
  <c r="I43" i="15" s="1"/>
  <c r="H43" i="24"/>
  <c r="H43" i="15" s="1"/>
  <c r="G43" i="24"/>
  <c r="G43" i="15" s="1"/>
  <c r="F43" i="24"/>
  <c r="F43" i="15" s="1"/>
  <c r="E43" i="24"/>
  <c r="E43" i="15" s="1"/>
  <c r="D43" i="24"/>
  <c r="D43" i="15" s="1"/>
  <c r="C43" i="24"/>
  <c r="C43" i="15" s="1"/>
  <c r="N42" i="24"/>
  <c r="N42" i="15" s="1"/>
  <c r="M42" i="24"/>
  <c r="M42" i="15" s="1"/>
  <c r="L42" i="24"/>
  <c r="J42" i="24"/>
  <c r="J42" i="15" s="1"/>
  <c r="I42" i="24"/>
  <c r="I42" i="15" s="1"/>
  <c r="H42" i="24"/>
  <c r="H42" i="15" s="1"/>
  <c r="G42" i="24"/>
  <c r="G42" i="15" s="1"/>
  <c r="F42" i="24"/>
  <c r="F42" i="15" s="1"/>
  <c r="E42" i="24"/>
  <c r="E42" i="15" s="1"/>
  <c r="D42" i="24"/>
  <c r="D42" i="15" s="1"/>
  <c r="C42" i="24"/>
  <c r="C42" i="15" s="1"/>
  <c r="N41" i="24"/>
  <c r="N41" i="15" s="1"/>
  <c r="M41" i="24"/>
  <c r="M41" i="15" s="1"/>
  <c r="L41" i="24"/>
  <c r="L41" i="15" s="1"/>
  <c r="J41" i="24"/>
  <c r="J41" i="15" s="1"/>
  <c r="I41" i="24"/>
  <c r="I41" i="15" s="1"/>
  <c r="H41" i="24"/>
  <c r="H41" i="15" s="1"/>
  <c r="G41" i="24"/>
  <c r="G41" i="15" s="1"/>
  <c r="F41" i="24"/>
  <c r="F41" i="15" s="1"/>
  <c r="E41" i="24"/>
  <c r="E41" i="15" s="1"/>
  <c r="D41" i="24"/>
  <c r="D41" i="15" s="1"/>
  <c r="C41" i="24"/>
  <c r="C41" i="15" s="1"/>
  <c r="N40" i="24"/>
  <c r="N40" i="15" s="1"/>
  <c r="M40" i="24"/>
  <c r="M40" i="15" s="1"/>
  <c r="L40" i="24"/>
  <c r="J40" i="24"/>
  <c r="J40" i="15" s="1"/>
  <c r="I40" i="24"/>
  <c r="I40" i="15" s="1"/>
  <c r="H40" i="24"/>
  <c r="H40" i="15" s="1"/>
  <c r="G40" i="24"/>
  <c r="G40" i="15" s="1"/>
  <c r="F40" i="24"/>
  <c r="F40" i="15" s="1"/>
  <c r="E40" i="24"/>
  <c r="E40" i="15" s="1"/>
  <c r="D40" i="24"/>
  <c r="D40" i="15" s="1"/>
  <c r="C40" i="24"/>
  <c r="C40" i="15" s="1"/>
  <c r="N39" i="24"/>
  <c r="N39" i="15" s="1"/>
  <c r="M39" i="24"/>
  <c r="M39" i="15" s="1"/>
  <c r="L39" i="24"/>
  <c r="L39" i="15" s="1"/>
  <c r="J39" i="24"/>
  <c r="J39" i="15" s="1"/>
  <c r="I39" i="24"/>
  <c r="I39" i="15" s="1"/>
  <c r="H39" i="24"/>
  <c r="H39" i="15" s="1"/>
  <c r="G39" i="24"/>
  <c r="G39" i="15" s="1"/>
  <c r="F39" i="24"/>
  <c r="F39" i="15" s="1"/>
  <c r="E39" i="24"/>
  <c r="E39" i="15" s="1"/>
  <c r="D39" i="24"/>
  <c r="D39" i="15" s="1"/>
  <c r="C39" i="24"/>
  <c r="C39" i="15" s="1"/>
  <c r="N38" i="24"/>
  <c r="N38" i="15" s="1"/>
  <c r="M38" i="24"/>
  <c r="M38" i="15" s="1"/>
  <c r="L38" i="24"/>
  <c r="J38" i="24"/>
  <c r="J38" i="15" s="1"/>
  <c r="I38" i="24"/>
  <c r="I38" i="15" s="1"/>
  <c r="H38" i="24"/>
  <c r="H38" i="15" s="1"/>
  <c r="G38" i="24"/>
  <c r="G38" i="15" s="1"/>
  <c r="F38" i="24"/>
  <c r="F38" i="15" s="1"/>
  <c r="E38" i="24"/>
  <c r="E38" i="15" s="1"/>
  <c r="D38" i="24"/>
  <c r="D38" i="15" s="1"/>
  <c r="C38" i="24"/>
  <c r="C38" i="15" s="1"/>
  <c r="N37" i="24"/>
  <c r="N37" i="15" s="1"/>
  <c r="M37" i="24"/>
  <c r="M37" i="15" s="1"/>
  <c r="L37" i="24"/>
  <c r="L37" i="15" s="1"/>
  <c r="J37" i="24"/>
  <c r="J37" i="15" s="1"/>
  <c r="I37" i="24"/>
  <c r="I37" i="15" s="1"/>
  <c r="H37" i="24"/>
  <c r="H37" i="15" s="1"/>
  <c r="G37" i="24"/>
  <c r="G37" i="15" s="1"/>
  <c r="F37" i="24"/>
  <c r="F37" i="15" s="1"/>
  <c r="E37" i="24"/>
  <c r="E37" i="15" s="1"/>
  <c r="D37" i="24"/>
  <c r="D37" i="15" s="1"/>
  <c r="C37" i="24"/>
  <c r="C37" i="15" s="1"/>
  <c r="N36" i="24"/>
  <c r="N36" i="15" s="1"/>
  <c r="M36" i="24"/>
  <c r="M36" i="15" s="1"/>
  <c r="L36" i="24"/>
  <c r="L36" i="15" s="1"/>
  <c r="J36" i="24"/>
  <c r="J36" i="15" s="1"/>
  <c r="I36" i="24"/>
  <c r="I36" i="15" s="1"/>
  <c r="H36" i="24"/>
  <c r="H36" i="15" s="1"/>
  <c r="G36" i="24"/>
  <c r="G36" i="15" s="1"/>
  <c r="F36" i="24"/>
  <c r="F36" i="15" s="1"/>
  <c r="E36" i="24"/>
  <c r="E36" i="15" s="1"/>
  <c r="D36" i="24"/>
  <c r="D36" i="15" s="1"/>
  <c r="C36" i="24"/>
  <c r="C36" i="15" s="1"/>
  <c r="N35" i="24"/>
  <c r="N35" i="15" s="1"/>
  <c r="M35" i="24"/>
  <c r="M35" i="15" s="1"/>
  <c r="L35" i="24"/>
  <c r="L35" i="15" s="1"/>
  <c r="J35" i="24"/>
  <c r="J35" i="15" s="1"/>
  <c r="I35" i="24"/>
  <c r="I35" i="15" s="1"/>
  <c r="H35" i="24"/>
  <c r="H35" i="15" s="1"/>
  <c r="G35" i="24"/>
  <c r="G35" i="15" s="1"/>
  <c r="F35" i="24"/>
  <c r="F35" i="15" s="1"/>
  <c r="E35" i="24"/>
  <c r="E35" i="15" s="1"/>
  <c r="D35" i="24"/>
  <c r="D35" i="15" s="1"/>
  <c r="C35" i="24"/>
  <c r="C35" i="15" s="1"/>
  <c r="N34" i="24"/>
  <c r="N34" i="15" s="1"/>
  <c r="M34" i="24"/>
  <c r="M34" i="15" s="1"/>
  <c r="L34" i="24"/>
  <c r="L34" i="15" s="1"/>
  <c r="J34" i="24"/>
  <c r="J34" i="15" s="1"/>
  <c r="I34" i="24"/>
  <c r="I34" i="15" s="1"/>
  <c r="H34" i="24"/>
  <c r="H34" i="15" s="1"/>
  <c r="G34" i="24"/>
  <c r="G34" i="15" s="1"/>
  <c r="F34" i="24"/>
  <c r="F34" i="15" s="1"/>
  <c r="E34" i="24"/>
  <c r="E34" i="15" s="1"/>
  <c r="D34" i="24"/>
  <c r="D34" i="15" s="1"/>
  <c r="C34" i="24"/>
  <c r="C34" i="15" s="1"/>
  <c r="N33" i="24"/>
  <c r="N33" i="15" s="1"/>
  <c r="M33" i="24"/>
  <c r="L33" i="24"/>
  <c r="J33" i="24"/>
  <c r="J33" i="15" s="1"/>
  <c r="I33" i="24"/>
  <c r="I33" i="15" s="1"/>
  <c r="H33" i="24"/>
  <c r="H33" i="15" s="1"/>
  <c r="G33" i="24"/>
  <c r="G33" i="15" s="1"/>
  <c r="F33" i="24"/>
  <c r="F33" i="15" s="1"/>
  <c r="E33" i="24"/>
  <c r="E33" i="15" s="1"/>
  <c r="D33" i="24"/>
  <c r="D33" i="15" s="1"/>
  <c r="C33" i="24"/>
  <c r="C33" i="15" s="1"/>
  <c r="N32" i="24"/>
  <c r="N32" i="15" s="1"/>
  <c r="M32" i="24"/>
  <c r="M32" i="15" s="1"/>
  <c r="L32" i="24"/>
  <c r="J32" i="24"/>
  <c r="J32" i="15" s="1"/>
  <c r="I32" i="24"/>
  <c r="I32" i="15" s="1"/>
  <c r="H32" i="24"/>
  <c r="H32" i="15" s="1"/>
  <c r="G32" i="24"/>
  <c r="G32" i="15" s="1"/>
  <c r="F32" i="24"/>
  <c r="F32" i="15" s="1"/>
  <c r="E32" i="24"/>
  <c r="E32" i="15" s="1"/>
  <c r="D32" i="24"/>
  <c r="D32" i="15" s="1"/>
  <c r="C32" i="24"/>
  <c r="C32" i="15" s="1"/>
  <c r="N31" i="24"/>
  <c r="N31" i="15" s="1"/>
  <c r="M31" i="24"/>
  <c r="M31" i="15" s="1"/>
  <c r="L31" i="24"/>
  <c r="L31" i="15" s="1"/>
  <c r="J31" i="24"/>
  <c r="J31" i="15" s="1"/>
  <c r="I31" i="24"/>
  <c r="I31" i="15" s="1"/>
  <c r="H31" i="24"/>
  <c r="H31" i="15" s="1"/>
  <c r="G31" i="24"/>
  <c r="G31" i="15" s="1"/>
  <c r="F31" i="24"/>
  <c r="F31" i="15" s="1"/>
  <c r="E31" i="24"/>
  <c r="E31" i="15" s="1"/>
  <c r="D31" i="24"/>
  <c r="D31" i="15" s="1"/>
  <c r="C31" i="24"/>
  <c r="C31" i="15" s="1"/>
  <c r="N30" i="24"/>
  <c r="N30" i="15" s="1"/>
  <c r="M30" i="24"/>
  <c r="M30" i="15" s="1"/>
  <c r="L30" i="24"/>
  <c r="J30" i="24"/>
  <c r="J30" i="15" s="1"/>
  <c r="I30" i="24"/>
  <c r="I30" i="15" s="1"/>
  <c r="H30" i="24"/>
  <c r="H30" i="15" s="1"/>
  <c r="G30" i="24"/>
  <c r="G30" i="15" s="1"/>
  <c r="F30" i="24"/>
  <c r="F30" i="15" s="1"/>
  <c r="E30" i="24"/>
  <c r="E30" i="15" s="1"/>
  <c r="D30" i="24"/>
  <c r="D30" i="15" s="1"/>
  <c r="C30" i="24"/>
  <c r="C30" i="15" s="1"/>
  <c r="N29" i="24"/>
  <c r="N29" i="15" s="1"/>
  <c r="M29" i="24"/>
  <c r="M29" i="15" s="1"/>
  <c r="L29" i="24"/>
  <c r="L29" i="15" s="1"/>
  <c r="J29" i="24"/>
  <c r="J29" i="15" s="1"/>
  <c r="I29" i="24"/>
  <c r="I29" i="15" s="1"/>
  <c r="H29" i="24"/>
  <c r="H29" i="15" s="1"/>
  <c r="G29" i="24"/>
  <c r="G29" i="15" s="1"/>
  <c r="F29" i="24"/>
  <c r="F29" i="15" s="1"/>
  <c r="E29" i="24"/>
  <c r="E29" i="15" s="1"/>
  <c r="D29" i="24"/>
  <c r="D29" i="15" s="1"/>
  <c r="C29" i="24"/>
  <c r="C29" i="15" s="1"/>
  <c r="N28" i="24"/>
  <c r="N28" i="15" s="1"/>
  <c r="M28" i="24"/>
  <c r="M28" i="15" s="1"/>
  <c r="L28" i="24"/>
  <c r="L28" i="15" s="1"/>
  <c r="J28" i="24"/>
  <c r="J28" i="15" s="1"/>
  <c r="I28" i="24"/>
  <c r="I28" i="15" s="1"/>
  <c r="H28" i="24"/>
  <c r="H28" i="15" s="1"/>
  <c r="G28" i="24"/>
  <c r="G28" i="15" s="1"/>
  <c r="F28" i="24"/>
  <c r="F28" i="15" s="1"/>
  <c r="E28" i="24"/>
  <c r="E28" i="15" s="1"/>
  <c r="D28" i="24"/>
  <c r="D28" i="15" s="1"/>
  <c r="C28" i="24"/>
  <c r="C28" i="15" s="1"/>
  <c r="N27" i="24"/>
  <c r="N27" i="15" s="1"/>
  <c r="M27" i="24"/>
  <c r="M27" i="15" s="1"/>
  <c r="L27" i="24"/>
  <c r="L27" i="15" s="1"/>
  <c r="J27" i="24"/>
  <c r="J27" i="15" s="1"/>
  <c r="I27" i="24"/>
  <c r="I27" i="15" s="1"/>
  <c r="H27" i="24"/>
  <c r="H27" i="15" s="1"/>
  <c r="G27" i="24"/>
  <c r="G27" i="15" s="1"/>
  <c r="F27" i="24"/>
  <c r="F27" i="15" s="1"/>
  <c r="E27" i="24"/>
  <c r="E27" i="15" s="1"/>
  <c r="D27" i="24"/>
  <c r="D27" i="15" s="1"/>
  <c r="C27" i="24"/>
  <c r="C27" i="15" s="1"/>
  <c r="N26" i="24"/>
  <c r="N26" i="15" s="1"/>
  <c r="M26" i="24"/>
  <c r="M26" i="15" s="1"/>
  <c r="L26" i="24"/>
  <c r="J26" i="24"/>
  <c r="J26" i="15" s="1"/>
  <c r="I26" i="24"/>
  <c r="I26" i="15" s="1"/>
  <c r="H26" i="24"/>
  <c r="H26" i="15" s="1"/>
  <c r="G26" i="24"/>
  <c r="G26" i="15" s="1"/>
  <c r="F26" i="24"/>
  <c r="F26" i="15" s="1"/>
  <c r="E26" i="24"/>
  <c r="E26" i="15" s="1"/>
  <c r="D26" i="24"/>
  <c r="D26" i="15" s="1"/>
  <c r="C26" i="24"/>
  <c r="C26" i="15" s="1"/>
  <c r="N25" i="24"/>
  <c r="N25" i="15" s="1"/>
  <c r="M25" i="24"/>
  <c r="M25" i="15" s="1"/>
  <c r="L25" i="24"/>
  <c r="L25" i="15" s="1"/>
  <c r="J25" i="24"/>
  <c r="J25" i="15" s="1"/>
  <c r="I25" i="24"/>
  <c r="I25" i="15" s="1"/>
  <c r="H25" i="24"/>
  <c r="H25" i="15" s="1"/>
  <c r="G25" i="24"/>
  <c r="G25" i="15" s="1"/>
  <c r="F25" i="24"/>
  <c r="F25" i="15" s="1"/>
  <c r="E25" i="24"/>
  <c r="E25" i="15" s="1"/>
  <c r="D25" i="24"/>
  <c r="D25" i="15" s="1"/>
  <c r="C25" i="24"/>
  <c r="C25" i="15" s="1"/>
  <c r="N24" i="24"/>
  <c r="N24" i="15" s="1"/>
  <c r="M24" i="24"/>
  <c r="M24" i="15" s="1"/>
  <c r="L24" i="24"/>
  <c r="J24" i="24"/>
  <c r="J24" i="15" s="1"/>
  <c r="I24" i="24"/>
  <c r="I24" i="15" s="1"/>
  <c r="H24" i="24"/>
  <c r="H24" i="15" s="1"/>
  <c r="G24" i="24"/>
  <c r="G24" i="15" s="1"/>
  <c r="F24" i="24"/>
  <c r="F24" i="15" s="1"/>
  <c r="E24" i="24"/>
  <c r="E24" i="15" s="1"/>
  <c r="D24" i="24"/>
  <c r="D24" i="15" s="1"/>
  <c r="C24" i="24"/>
  <c r="C24" i="15" s="1"/>
  <c r="N23" i="24"/>
  <c r="N23" i="15" s="1"/>
  <c r="M23" i="24"/>
  <c r="M23" i="15" s="1"/>
  <c r="L23" i="24"/>
  <c r="L23" i="15" s="1"/>
  <c r="J23" i="24"/>
  <c r="J23" i="15" s="1"/>
  <c r="I23" i="24"/>
  <c r="I23" i="15" s="1"/>
  <c r="H23" i="24"/>
  <c r="H23" i="15" s="1"/>
  <c r="G23" i="24"/>
  <c r="G23" i="15" s="1"/>
  <c r="F23" i="24"/>
  <c r="F23" i="15" s="1"/>
  <c r="E23" i="24"/>
  <c r="E23" i="15" s="1"/>
  <c r="D23" i="24"/>
  <c r="D23" i="15" s="1"/>
  <c r="C23" i="24"/>
  <c r="C23" i="15" s="1"/>
  <c r="N22" i="24"/>
  <c r="N22" i="15" s="1"/>
  <c r="M22" i="24"/>
  <c r="M22" i="15" s="1"/>
  <c r="L22" i="24"/>
  <c r="L22" i="15" s="1"/>
  <c r="J22" i="24"/>
  <c r="J22" i="15" s="1"/>
  <c r="I22" i="24"/>
  <c r="I22" i="15" s="1"/>
  <c r="H22" i="24"/>
  <c r="H22" i="15" s="1"/>
  <c r="G22" i="24"/>
  <c r="G22" i="15" s="1"/>
  <c r="F22" i="24"/>
  <c r="F22" i="15" s="1"/>
  <c r="E22" i="24"/>
  <c r="E22" i="15" s="1"/>
  <c r="D22" i="24"/>
  <c r="D22" i="15" s="1"/>
  <c r="C22" i="24"/>
  <c r="C22" i="15" s="1"/>
  <c r="N21" i="24"/>
  <c r="N21" i="15" s="1"/>
  <c r="M21" i="24"/>
  <c r="M21" i="15" s="1"/>
  <c r="L21" i="24"/>
  <c r="L21" i="15" s="1"/>
  <c r="J21" i="24"/>
  <c r="J21" i="15" s="1"/>
  <c r="I21" i="24"/>
  <c r="I21" i="15" s="1"/>
  <c r="H21" i="24"/>
  <c r="H21" i="15" s="1"/>
  <c r="G21" i="24"/>
  <c r="G21" i="15" s="1"/>
  <c r="F21" i="24"/>
  <c r="F21" i="15" s="1"/>
  <c r="E21" i="24"/>
  <c r="E21" i="15" s="1"/>
  <c r="D21" i="24"/>
  <c r="D21" i="15" s="1"/>
  <c r="C21" i="24"/>
  <c r="C21" i="15" s="1"/>
  <c r="N20" i="24"/>
  <c r="N20" i="15" s="1"/>
  <c r="M20" i="24"/>
  <c r="M20" i="15" s="1"/>
  <c r="L20" i="24"/>
  <c r="L20" i="15" s="1"/>
  <c r="J20" i="24"/>
  <c r="J20" i="15" s="1"/>
  <c r="I20" i="24"/>
  <c r="I20" i="15" s="1"/>
  <c r="H20" i="24"/>
  <c r="H20" i="15" s="1"/>
  <c r="G20" i="24"/>
  <c r="G20" i="15" s="1"/>
  <c r="F20" i="24"/>
  <c r="F20" i="15" s="1"/>
  <c r="E20" i="24"/>
  <c r="E20" i="15" s="1"/>
  <c r="D20" i="24"/>
  <c r="D20" i="15" s="1"/>
  <c r="C20" i="24"/>
  <c r="C20" i="15" s="1"/>
  <c r="N19" i="24"/>
  <c r="N19" i="15" s="1"/>
  <c r="M19" i="24"/>
  <c r="M19" i="15" s="1"/>
  <c r="L19" i="24"/>
  <c r="L19" i="15" s="1"/>
  <c r="J19" i="24"/>
  <c r="J19" i="15" s="1"/>
  <c r="I19" i="24"/>
  <c r="I19" i="15" s="1"/>
  <c r="H19" i="24"/>
  <c r="H19" i="15" s="1"/>
  <c r="G19" i="24"/>
  <c r="G19" i="15" s="1"/>
  <c r="F19" i="24"/>
  <c r="F19" i="15" s="1"/>
  <c r="E19" i="24"/>
  <c r="E19" i="15" s="1"/>
  <c r="D19" i="24"/>
  <c r="D19" i="15" s="1"/>
  <c r="C19" i="24"/>
  <c r="C19" i="15" s="1"/>
  <c r="N18" i="24"/>
  <c r="N18" i="15" s="1"/>
  <c r="M18" i="24"/>
  <c r="M18" i="15" s="1"/>
  <c r="L18" i="24"/>
  <c r="L18" i="15" s="1"/>
  <c r="J18" i="24"/>
  <c r="J18" i="15" s="1"/>
  <c r="I18" i="24"/>
  <c r="I18" i="15" s="1"/>
  <c r="H18" i="24"/>
  <c r="H18" i="15" s="1"/>
  <c r="G18" i="24"/>
  <c r="G18" i="15" s="1"/>
  <c r="F18" i="24"/>
  <c r="F18" i="15" s="1"/>
  <c r="E18" i="24"/>
  <c r="E18" i="15" s="1"/>
  <c r="D18" i="24"/>
  <c r="D18" i="15" s="1"/>
  <c r="C18" i="24"/>
  <c r="C18" i="15" s="1"/>
  <c r="N17" i="24"/>
  <c r="N17" i="15" s="1"/>
  <c r="M17" i="24"/>
  <c r="M17" i="15" s="1"/>
  <c r="L17" i="24"/>
  <c r="L17" i="15" s="1"/>
  <c r="J17" i="24"/>
  <c r="J17" i="15" s="1"/>
  <c r="I17" i="24"/>
  <c r="I17" i="15" s="1"/>
  <c r="H17" i="24"/>
  <c r="H17" i="15" s="1"/>
  <c r="G17" i="24"/>
  <c r="G17" i="15" s="1"/>
  <c r="F17" i="24"/>
  <c r="F17" i="15" s="1"/>
  <c r="E17" i="24"/>
  <c r="E17" i="15" s="1"/>
  <c r="D17" i="24"/>
  <c r="D17" i="15" s="1"/>
  <c r="C17" i="24"/>
  <c r="C17" i="15" s="1"/>
  <c r="N16" i="24"/>
  <c r="N16" i="15" s="1"/>
  <c r="M16" i="24"/>
  <c r="M16" i="15" s="1"/>
  <c r="L16" i="24"/>
  <c r="L16" i="15" s="1"/>
  <c r="J16" i="24"/>
  <c r="J16" i="15" s="1"/>
  <c r="I16" i="24"/>
  <c r="I16" i="15" s="1"/>
  <c r="H16" i="24"/>
  <c r="H16" i="15" s="1"/>
  <c r="G16" i="24"/>
  <c r="G16" i="15" s="1"/>
  <c r="F16" i="24"/>
  <c r="F16" i="15" s="1"/>
  <c r="E16" i="24"/>
  <c r="E16" i="15" s="1"/>
  <c r="D16" i="24"/>
  <c r="D16" i="15" s="1"/>
  <c r="C16" i="24"/>
  <c r="C16" i="15" s="1"/>
  <c r="N15" i="24"/>
  <c r="M15" i="24"/>
  <c r="M15" i="15" s="1"/>
  <c r="L15" i="24"/>
  <c r="L15" i="15" s="1"/>
  <c r="J15" i="24"/>
  <c r="J15" i="15" s="1"/>
  <c r="I15" i="24"/>
  <c r="I15" i="15" s="1"/>
  <c r="H15" i="24"/>
  <c r="H15" i="15" s="1"/>
  <c r="G15" i="24"/>
  <c r="G15" i="15" s="1"/>
  <c r="F15" i="24"/>
  <c r="F15" i="15" s="1"/>
  <c r="E15" i="24"/>
  <c r="E15" i="15" s="1"/>
  <c r="D15" i="24"/>
  <c r="D15" i="15" s="1"/>
  <c r="C15" i="24"/>
  <c r="C15" i="15" s="1"/>
  <c r="N14" i="24"/>
  <c r="N14" i="15" s="1"/>
  <c r="M14" i="24"/>
  <c r="M14" i="15" s="1"/>
  <c r="L14" i="24"/>
  <c r="L14" i="15" s="1"/>
  <c r="J14" i="24"/>
  <c r="J14" i="15" s="1"/>
  <c r="I14" i="24"/>
  <c r="I14" i="15" s="1"/>
  <c r="H14" i="24"/>
  <c r="H14" i="15" s="1"/>
  <c r="G14" i="24"/>
  <c r="G14" i="15" s="1"/>
  <c r="F14" i="24"/>
  <c r="F14" i="15" s="1"/>
  <c r="E14" i="24"/>
  <c r="E14" i="15" s="1"/>
  <c r="D14" i="24"/>
  <c r="D14" i="15" s="1"/>
  <c r="C14" i="24"/>
  <c r="C14" i="15" s="1"/>
  <c r="N13" i="24"/>
  <c r="N13" i="15" s="1"/>
  <c r="M13" i="24"/>
  <c r="M13" i="15" s="1"/>
  <c r="L13" i="24"/>
  <c r="J13" i="24"/>
  <c r="J13" i="15" s="1"/>
  <c r="I13" i="24"/>
  <c r="I13" i="15" s="1"/>
  <c r="H13" i="24"/>
  <c r="H13" i="15" s="1"/>
  <c r="G13" i="24"/>
  <c r="G13" i="15" s="1"/>
  <c r="F13" i="24"/>
  <c r="F13" i="15" s="1"/>
  <c r="E13" i="24"/>
  <c r="E13" i="15" s="1"/>
  <c r="D13" i="24"/>
  <c r="D13" i="15" s="1"/>
  <c r="C13" i="24"/>
  <c r="C13" i="15" s="1"/>
  <c r="N12" i="24"/>
  <c r="N12" i="15" s="1"/>
  <c r="M12" i="24"/>
  <c r="M12" i="15" s="1"/>
  <c r="L12" i="24"/>
  <c r="L12" i="15" s="1"/>
  <c r="J12" i="24"/>
  <c r="J12" i="15" s="1"/>
  <c r="I12" i="24"/>
  <c r="I12" i="15" s="1"/>
  <c r="H12" i="24"/>
  <c r="H12" i="15" s="1"/>
  <c r="G12" i="24"/>
  <c r="G12" i="15" s="1"/>
  <c r="F12" i="24"/>
  <c r="F12" i="15" s="1"/>
  <c r="E12" i="24"/>
  <c r="E12" i="15" s="1"/>
  <c r="D12" i="24"/>
  <c r="D12" i="15" s="1"/>
  <c r="C12" i="24"/>
  <c r="C12" i="15" s="1"/>
  <c r="N11" i="24"/>
  <c r="N11" i="15" s="1"/>
  <c r="M11" i="24"/>
  <c r="M11" i="15" s="1"/>
  <c r="L11" i="24"/>
  <c r="L11" i="15" s="1"/>
  <c r="J11" i="24"/>
  <c r="J11" i="15" s="1"/>
  <c r="I11" i="24"/>
  <c r="I11" i="15" s="1"/>
  <c r="H11" i="24"/>
  <c r="H11" i="15" s="1"/>
  <c r="G11" i="24"/>
  <c r="G11" i="15" s="1"/>
  <c r="F11" i="24"/>
  <c r="F11" i="15" s="1"/>
  <c r="E11" i="24"/>
  <c r="E11" i="15" s="1"/>
  <c r="D11" i="24"/>
  <c r="D11" i="15" s="1"/>
  <c r="C11" i="24"/>
  <c r="C11" i="15" s="1"/>
  <c r="N10" i="24"/>
  <c r="N10" i="15" s="1"/>
  <c r="M10" i="24"/>
  <c r="M10" i="15" s="1"/>
  <c r="L10" i="24"/>
  <c r="J10" i="24"/>
  <c r="J10" i="15" s="1"/>
  <c r="I10" i="24"/>
  <c r="I10" i="15" s="1"/>
  <c r="H10" i="24"/>
  <c r="H10" i="15" s="1"/>
  <c r="G10" i="24"/>
  <c r="G10" i="15" s="1"/>
  <c r="F10" i="24"/>
  <c r="F10" i="15" s="1"/>
  <c r="E10" i="24"/>
  <c r="E10" i="15" s="1"/>
  <c r="D10" i="24"/>
  <c r="D10" i="15" s="1"/>
  <c r="C10" i="24"/>
  <c r="C10" i="15" s="1"/>
  <c r="N9" i="24"/>
  <c r="N9" i="15" s="1"/>
  <c r="M9" i="24"/>
  <c r="M9" i="15" s="1"/>
  <c r="L9" i="24"/>
  <c r="L9" i="15" s="1"/>
  <c r="J9" i="24"/>
  <c r="J9" i="15" s="1"/>
  <c r="I9" i="24"/>
  <c r="I9" i="15" s="1"/>
  <c r="H9" i="24"/>
  <c r="H9" i="15" s="1"/>
  <c r="G9" i="24"/>
  <c r="G9" i="15" s="1"/>
  <c r="F9" i="24"/>
  <c r="F9" i="15" s="1"/>
  <c r="E9" i="24"/>
  <c r="E9" i="15" s="1"/>
  <c r="D9" i="24"/>
  <c r="D9" i="15" s="1"/>
  <c r="C9" i="24"/>
  <c r="C9" i="15" s="1"/>
  <c r="N8" i="24"/>
  <c r="N8" i="15" s="1"/>
  <c r="M8" i="24"/>
  <c r="M8" i="15" s="1"/>
  <c r="L8" i="24"/>
  <c r="J8" i="24"/>
  <c r="J8" i="15" s="1"/>
  <c r="I8" i="24"/>
  <c r="I8" i="15" s="1"/>
  <c r="H8" i="24"/>
  <c r="H8" i="15" s="1"/>
  <c r="G8" i="24"/>
  <c r="G8" i="15" s="1"/>
  <c r="F8" i="24"/>
  <c r="F8" i="15" s="1"/>
  <c r="E8" i="24"/>
  <c r="E8" i="15" s="1"/>
  <c r="D8" i="24"/>
  <c r="D8" i="15" s="1"/>
  <c r="C8" i="24"/>
  <c r="C8" i="15" s="1"/>
  <c r="N7" i="24"/>
  <c r="N7" i="15" s="1"/>
  <c r="M7" i="24"/>
  <c r="M7" i="15" s="1"/>
  <c r="L7" i="24"/>
  <c r="L7" i="15" s="1"/>
  <c r="J7" i="24"/>
  <c r="J7" i="15" s="1"/>
  <c r="I7" i="24"/>
  <c r="I7" i="15" s="1"/>
  <c r="H7" i="24"/>
  <c r="H7" i="15" s="1"/>
  <c r="G7" i="24"/>
  <c r="G7" i="15" s="1"/>
  <c r="F7" i="24"/>
  <c r="F7" i="15" s="1"/>
  <c r="E7" i="24"/>
  <c r="E7" i="15" s="1"/>
  <c r="D7" i="24"/>
  <c r="D7" i="15" s="1"/>
  <c r="C7" i="24"/>
  <c r="C7" i="15" s="1"/>
  <c r="N6" i="24"/>
  <c r="N6" i="15" s="1"/>
  <c r="M6" i="24"/>
  <c r="M6" i="15" s="1"/>
  <c r="L6" i="24"/>
  <c r="L6" i="15" s="1"/>
  <c r="J6" i="24"/>
  <c r="J6" i="15" s="1"/>
  <c r="I6" i="24"/>
  <c r="I6" i="15" s="1"/>
  <c r="H6" i="24"/>
  <c r="H6" i="15" s="1"/>
  <c r="G6" i="24"/>
  <c r="G6" i="15" s="1"/>
  <c r="F6" i="24"/>
  <c r="F6" i="15" s="1"/>
  <c r="E6" i="24"/>
  <c r="E6" i="15" s="1"/>
  <c r="D6" i="24"/>
  <c r="D6" i="15" s="1"/>
  <c r="C6" i="24"/>
  <c r="C6" i="15" s="1"/>
  <c r="N5" i="24"/>
  <c r="N5" i="15" s="1"/>
  <c r="M5" i="24"/>
  <c r="M5" i="15" s="1"/>
  <c r="L5" i="24"/>
  <c r="L5" i="15" s="1"/>
  <c r="J5" i="24"/>
  <c r="J5" i="15" s="1"/>
  <c r="I5" i="24"/>
  <c r="I5" i="15" s="1"/>
  <c r="H5" i="24"/>
  <c r="H5" i="15" s="1"/>
  <c r="G5" i="24"/>
  <c r="G5" i="15" s="1"/>
  <c r="F5" i="24"/>
  <c r="F5" i="15" s="1"/>
  <c r="E5" i="24"/>
  <c r="E5" i="15" s="1"/>
  <c r="D5" i="24"/>
  <c r="D5" i="15" s="1"/>
  <c r="C5" i="24"/>
  <c r="C5" i="15" s="1"/>
  <c r="N4" i="24"/>
  <c r="N4" i="15" s="1"/>
  <c r="M4" i="24"/>
  <c r="M4" i="15" s="1"/>
  <c r="L4" i="24"/>
  <c r="L4" i="15" s="1"/>
  <c r="J4" i="24"/>
  <c r="J4" i="15" s="1"/>
  <c r="I4" i="24"/>
  <c r="I4" i="15" s="1"/>
  <c r="H4" i="24"/>
  <c r="H4" i="15" s="1"/>
  <c r="G4" i="24"/>
  <c r="G4" i="15" s="1"/>
  <c r="F4" i="24"/>
  <c r="F4" i="15" s="1"/>
  <c r="E4" i="24"/>
  <c r="E4" i="15" s="1"/>
  <c r="D4" i="24"/>
  <c r="D4" i="15" s="1"/>
  <c r="C4" i="24"/>
  <c r="C4" i="15" s="1"/>
  <c r="N3" i="24"/>
  <c r="N3" i="15" s="1"/>
  <c r="M3" i="24"/>
  <c r="M3" i="15" s="1"/>
  <c r="L3" i="24"/>
  <c r="L3" i="15" s="1"/>
  <c r="J3" i="24"/>
  <c r="J3" i="15" s="1"/>
  <c r="I3" i="24"/>
  <c r="I3" i="15" s="1"/>
  <c r="H3" i="24"/>
  <c r="H3" i="15" s="1"/>
  <c r="G3" i="24"/>
  <c r="G3" i="15" s="1"/>
  <c r="F3" i="24"/>
  <c r="F3" i="15" s="1"/>
  <c r="E3" i="24"/>
  <c r="E3" i="15" s="1"/>
  <c r="D3" i="24"/>
  <c r="D3" i="15" s="1"/>
  <c r="C3" i="24"/>
  <c r="C3" i="15" s="1"/>
  <c r="N2" i="24"/>
  <c r="N2" i="15" s="1"/>
  <c r="M2" i="24"/>
  <c r="M2" i="15" s="1"/>
  <c r="L2" i="24"/>
  <c r="L2" i="15" s="1"/>
  <c r="J2" i="24"/>
  <c r="J2" i="15" s="1"/>
  <c r="I2" i="24"/>
  <c r="I2" i="15" s="1"/>
  <c r="H2" i="24"/>
  <c r="H2" i="15" s="1"/>
  <c r="G2" i="24"/>
  <c r="G2" i="15" s="1"/>
  <c r="F2" i="24"/>
  <c r="F2" i="15" s="1"/>
  <c r="E2" i="24"/>
  <c r="E2" i="15" s="1"/>
  <c r="D2" i="24"/>
  <c r="D2" i="15" s="1"/>
  <c r="C2" i="24"/>
  <c r="C2" i="15" s="1"/>
  <c r="G58" i="17"/>
  <c r="G45" i="17"/>
  <c r="G45" i="23" s="1"/>
  <c r="G19" i="17"/>
  <c r="G19" i="23" s="1"/>
  <c r="E70" i="23"/>
  <c r="D71" i="23"/>
  <c r="G71" i="23"/>
  <c r="D73" i="23"/>
  <c r="D74" i="23"/>
  <c r="G75" i="23"/>
  <c r="D76" i="23"/>
  <c r="E77" i="23"/>
  <c r="F77" i="23"/>
  <c r="G77" i="23"/>
  <c r="D78" i="23"/>
  <c r="D80" i="23"/>
  <c r="D82" i="23"/>
  <c r="E82" i="23"/>
  <c r="F82" i="23"/>
  <c r="G82" i="23"/>
  <c r="G83" i="23"/>
  <c r="H84" i="23"/>
  <c r="E86" i="23"/>
  <c r="D87" i="23"/>
  <c r="E87" i="23"/>
  <c r="F87" i="23"/>
  <c r="G87" i="23"/>
  <c r="E91" i="23"/>
  <c r="D92" i="23"/>
  <c r="E92" i="23"/>
  <c r="F92" i="23"/>
  <c r="G92" i="23"/>
  <c r="E95" i="23"/>
  <c r="F95" i="23"/>
  <c r="D96" i="23"/>
  <c r="F96" i="23"/>
  <c r="G96" i="23"/>
  <c r="H96" i="23"/>
  <c r="D97" i="23"/>
  <c r="E97" i="23"/>
  <c r="D98" i="23"/>
  <c r="G99" i="23"/>
  <c r="F100" i="23"/>
  <c r="D101" i="23"/>
  <c r="E101" i="23"/>
  <c r="F101" i="23"/>
  <c r="G101" i="23"/>
  <c r="D102" i="23"/>
  <c r="D104" i="23"/>
  <c r="G104" i="23"/>
  <c r="H104" i="23"/>
  <c r="F105" i="23"/>
  <c r="E106" i="23"/>
  <c r="F106" i="23"/>
  <c r="G106" i="23"/>
  <c r="D107" i="23"/>
  <c r="H108" i="23"/>
  <c r="F109" i="23"/>
  <c r="G109" i="23"/>
  <c r="F110" i="23"/>
  <c r="G110" i="23"/>
  <c r="D111" i="23"/>
  <c r="E111" i="23"/>
  <c r="F111" i="23"/>
  <c r="G111" i="23"/>
  <c r="E113" i="23"/>
  <c r="G113" i="23"/>
  <c r="F114" i="23"/>
  <c r="G114" i="23"/>
  <c r="F115" i="23"/>
  <c r="D116" i="23"/>
  <c r="E116" i="23"/>
  <c r="F116" i="23"/>
  <c r="G116" i="23"/>
  <c r="F118" i="23"/>
  <c r="F119" i="23"/>
  <c r="G119" i="23"/>
  <c r="E120" i="23"/>
  <c r="F120" i="23"/>
  <c r="G120" i="23"/>
  <c r="D121" i="23"/>
  <c r="E121" i="23"/>
  <c r="F121" i="23"/>
  <c r="G121" i="23"/>
  <c r="E122" i="23"/>
  <c r="D124" i="23"/>
  <c r="E124" i="23"/>
  <c r="D125" i="23"/>
  <c r="F125" i="23"/>
  <c r="G125" i="23"/>
  <c r="D126" i="23"/>
  <c r="E126" i="23"/>
  <c r="F129" i="23"/>
  <c r="D130" i="23"/>
  <c r="F130" i="23"/>
  <c r="G130" i="23"/>
  <c r="H130" i="23"/>
  <c r="D131" i="23"/>
  <c r="E131" i="23"/>
  <c r="F131" i="23"/>
  <c r="E133" i="23"/>
  <c r="G134" i="23"/>
  <c r="E135" i="23"/>
  <c r="F135" i="23"/>
  <c r="G135" i="23"/>
  <c r="D136" i="23"/>
  <c r="E136" i="23"/>
  <c r="F136" i="23"/>
  <c r="E137" i="23"/>
  <c r="E138" i="23"/>
  <c r="E140" i="23"/>
  <c r="F140" i="23"/>
  <c r="G140" i="23"/>
  <c r="H140" i="23"/>
  <c r="D141" i="23"/>
  <c r="G141" i="23"/>
  <c r="G142" i="23"/>
  <c r="E144" i="23"/>
  <c r="F144" i="23"/>
  <c r="G144" i="23"/>
  <c r="D145" i="23"/>
  <c r="E145" i="23"/>
  <c r="F145" i="23"/>
  <c r="G145" i="23"/>
  <c r="G148" i="23"/>
  <c r="D68" i="17"/>
  <c r="D69" i="23" s="1"/>
  <c r="E68" i="17"/>
  <c r="E69" i="23" s="1"/>
  <c r="F68" i="17"/>
  <c r="G68" i="17"/>
  <c r="H68" i="17"/>
  <c r="H69" i="23" s="1"/>
  <c r="D142" i="17"/>
  <c r="D142" i="23" s="1"/>
  <c r="E142" i="17"/>
  <c r="E142" i="23" s="1"/>
  <c r="F142" i="17"/>
  <c r="F142" i="23" s="1"/>
  <c r="G142" i="17"/>
  <c r="H142" i="17"/>
  <c r="D143" i="17"/>
  <c r="D143" i="23" s="1"/>
  <c r="E143" i="17"/>
  <c r="E143" i="23" s="1"/>
  <c r="F143" i="17"/>
  <c r="F143" i="23" s="1"/>
  <c r="G143" i="17"/>
  <c r="G143" i="23" s="1"/>
  <c r="H143" i="17"/>
  <c r="H144" i="23" s="1"/>
  <c r="D144" i="17"/>
  <c r="D144" i="23" s="1"/>
  <c r="E144" i="17"/>
  <c r="F144" i="17"/>
  <c r="G144" i="17"/>
  <c r="H144" i="17"/>
  <c r="D145" i="17"/>
  <c r="E145" i="17"/>
  <c r="F145" i="17"/>
  <c r="G145" i="17"/>
  <c r="H145" i="17"/>
  <c r="D146" i="17"/>
  <c r="D146" i="23" s="1"/>
  <c r="E146" i="17"/>
  <c r="E146" i="23" s="1"/>
  <c r="F146" i="17"/>
  <c r="F146" i="23" s="1"/>
  <c r="G146" i="17"/>
  <c r="G146" i="23" s="1"/>
  <c r="H146" i="17"/>
  <c r="D147" i="17"/>
  <c r="D147" i="23" s="1"/>
  <c r="E147" i="17"/>
  <c r="E147" i="23" s="1"/>
  <c r="F147" i="17"/>
  <c r="F147" i="23" s="1"/>
  <c r="G147" i="17"/>
  <c r="G147" i="23" s="1"/>
  <c r="H147" i="17"/>
  <c r="H148" i="23" s="1"/>
  <c r="D148" i="17"/>
  <c r="D148" i="23" s="1"/>
  <c r="E148" i="17"/>
  <c r="E148" i="23" s="1"/>
  <c r="F148" i="17"/>
  <c r="F148" i="23" s="1"/>
  <c r="G148" i="17"/>
  <c r="H148" i="17"/>
  <c r="E111" i="17"/>
  <c r="E112" i="17"/>
  <c r="E112" i="23" s="1"/>
  <c r="E113" i="17"/>
  <c r="E114" i="17"/>
  <c r="E114" i="23" s="1"/>
  <c r="E115" i="17"/>
  <c r="E115" i="23" s="1"/>
  <c r="E116" i="17"/>
  <c r="E117" i="17"/>
  <c r="E117" i="23" s="1"/>
  <c r="E118" i="17"/>
  <c r="E118" i="23" s="1"/>
  <c r="E119" i="17"/>
  <c r="E119" i="23" s="1"/>
  <c r="E120" i="17"/>
  <c r="E121" i="17"/>
  <c r="E122" i="17"/>
  <c r="E123" i="17"/>
  <c r="E123" i="23" s="1"/>
  <c r="E124" i="17"/>
  <c r="E125" i="17"/>
  <c r="E125" i="23" s="1"/>
  <c r="E126" i="17"/>
  <c r="E127" i="17"/>
  <c r="E127" i="23" s="1"/>
  <c r="E128" i="17"/>
  <c r="E128" i="23" s="1"/>
  <c r="E129" i="17"/>
  <c r="E129" i="23" s="1"/>
  <c r="E130" i="17"/>
  <c r="E130" i="23" s="1"/>
  <c r="E131" i="17"/>
  <c r="E132" i="17"/>
  <c r="E132" i="23" s="1"/>
  <c r="E133" i="17"/>
  <c r="E134" i="17"/>
  <c r="E134" i="23" s="1"/>
  <c r="E135" i="17"/>
  <c r="E136" i="17"/>
  <c r="E137" i="17"/>
  <c r="E138" i="17"/>
  <c r="E139" i="17"/>
  <c r="E139" i="23" s="1"/>
  <c r="E140" i="17"/>
  <c r="E141" i="17"/>
  <c r="E141" i="23" s="1"/>
  <c r="E110" i="17"/>
  <c r="E110" i="23" s="1"/>
  <c r="D110" i="17"/>
  <c r="D110" i="23" s="1"/>
  <c r="F110" i="17"/>
  <c r="G110" i="17"/>
  <c r="H110" i="17"/>
  <c r="H110" i="23" s="1"/>
  <c r="D111" i="17"/>
  <c r="F111" i="17"/>
  <c r="G111" i="17"/>
  <c r="H111" i="17"/>
  <c r="D112" i="17"/>
  <c r="D112" i="23" s="1"/>
  <c r="F112" i="17"/>
  <c r="F112" i="23" s="1"/>
  <c r="G112" i="17"/>
  <c r="G112" i="23" s="1"/>
  <c r="H112" i="17"/>
  <c r="D113" i="17"/>
  <c r="D113" i="23" s="1"/>
  <c r="F113" i="17"/>
  <c r="F113" i="23" s="1"/>
  <c r="G113" i="17"/>
  <c r="H113" i="17"/>
  <c r="D114" i="17"/>
  <c r="D114" i="23" s="1"/>
  <c r="F114" i="17"/>
  <c r="G114" i="17"/>
  <c r="H114" i="17"/>
  <c r="D115" i="17"/>
  <c r="D115" i="23" s="1"/>
  <c r="F115" i="17"/>
  <c r="G115" i="17"/>
  <c r="G115" i="23" s="1"/>
  <c r="H115" i="17"/>
  <c r="H115" i="23" s="1"/>
  <c r="D116" i="17"/>
  <c r="F116" i="17"/>
  <c r="G116" i="17"/>
  <c r="H116" i="17"/>
  <c r="D117" i="17"/>
  <c r="D117" i="23" s="1"/>
  <c r="F117" i="17"/>
  <c r="F117" i="23" s="1"/>
  <c r="G117" i="17"/>
  <c r="G117" i="23" s="1"/>
  <c r="H117" i="17"/>
  <c r="D118" i="17"/>
  <c r="D118" i="23" s="1"/>
  <c r="F118" i="17"/>
  <c r="G118" i="17"/>
  <c r="G118" i="23" s="1"/>
  <c r="H118" i="17"/>
  <c r="H118" i="23" s="1"/>
  <c r="D119" i="17"/>
  <c r="D119" i="23" s="1"/>
  <c r="F119" i="17"/>
  <c r="G119" i="17"/>
  <c r="H119" i="17"/>
  <c r="H119" i="23" s="1"/>
  <c r="D120" i="17"/>
  <c r="D120" i="23" s="1"/>
  <c r="F120" i="17"/>
  <c r="G120" i="17"/>
  <c r="H120" i="17"/>
  <c r="H120" i="23" s="1"/>
  <c r="D121" i="17"/>
  <c r="F121" i="17"/>
  <c r="G121" i="17"/>
  <c r="H121" i="17"/>
  <c r="D122" i="17"/>
  <c r="D122" i="23" s="1"/>
  <c r="F122" i="17"/>
  <c r="F122" i="23" s="1"/>
  <c r="G122" i="17"/>
  <c r="G122" i="23" s="1"/>
  <c r="H122" i="17"/>
  <c r="D123" i="17"/>
  <c r="D123" i="23" s="1"/>
  <c r="F123" i="17"/>
  <c r="F123" i="23" s="1"/>
  <c r="G123" i="17"/>
  <c r="G123" i="23" s="1"/>
  <c r="H123" i="17"/>
  <c r="D124" i="17"/>
  <c r="F124" i="17"/>
  <c r="F124" i="23" s="1"/>
  <c r="G124" i="17"/>
  <c r="G124" i="23" s="1"/>
  <c r="H124" i="17"/>
  <c r="D125" i="17"/>
  <c r="F125" i="17"/>
  <c r="G125" i="17"/>
  <c r="H125" i="17"/>
  <c r="H125" i="23" s="1"/>
  <c r="D126" i="17"/>
  <c r="F126" i="17"/>
  <c r="F126" i="23" s="1"/>
  <c r="G126" i="17"/>
  <c r="G126" i="23" s="1"/>
  <c r="H126" i="17"/>
  <c r="D127" i="17"/>
  <c r="D127" i="23" s="1"/>
  <c r="F127" i="17"/>
  <c r="F127" i="23" s="1"/>
  <c r="G127" i="17"/>
  <c r="G127" i="23" s="1"/>
  <c r="H127" i="17"/>
  <c r="D128" i="17"/>
  <c r="D128" i="23" s="1"/>
  <c r="F128" i="17"/>
  <c r="F128" i="23" s="1"/>
  <c r="G128" i="17"/>
  <c r="G128" i="23" s="1"/>
  <c r="H128" i="17"/>
  <c r="D129" i="17"/>
  <c r="D129" i="23" s="1"/>
  <c r="F129" i="17"/>
  <c r="G129" i="17"/>
  <c r="G129" i="23" s="1"/>
  <c r="H129" i="17"/>
  <c r="H129" i="23" s="1"/>
  <c r="D130" i="17"/>
  <c r="F130" i="17"/>
  <c r="G130" i="17"/>
  <c r="H130" i="17"/>
  <c r="D131" i="17"/>
  <c r="F131" i="17"/>
  <c r="G131" i="17"/>
  <c r="G131" i="23" s="1"/>
  <c r="H131" i="17"/>
  <c r="D132" i="17"/>
  <c r="D132" i="23" s="1"/>
  <c r="F132" i="17"/>
  <c r="F132" i="23" s="1"/>
  <c r="G132" i="17"/>
  <c r="G132" i="23" s="1"/>
  <c r="H132" i="17"/>
  <c r="D133" i="17"/>
  <c r="D133" i="23" s="1"/>
  <c r="F133" i="17"/>
  <c r="F133" i="23" s="1"/>
  <c r="G133" i="17"/>
  <c r="G133" i="23" s="1"/>
  <c r="H133" i="17"/>
  <c r="D134" i="17"/>
  <c r="D134" i="23" s="1"/>
  <c r="F134" i="17"/>
  <c r="F134" i="23" s="1"/>
  <c r="G134" i="17"/>
  <c r="H134" i="17"/>
  <c r="H135" i="23" s="1"/>
  <c r="D135" i="17"/>
  <c r="D135" i="23" s="1"/>
  <c r="F135" i="17"/>
  <c r="G135" i="17"/>
  <c r="H135" i="17"/>
  <c r="D136" i="17"/>
  <c r="F136" i="17"/>
  <c r="G136" i="17"/>
  <c r="G136" i="23" s="1"/>
  <c r="H136" i="17"/>
  <c r="D137" i="17"/>
  <c r="D137" i="23" s="1"/>
  <c r="F137" i="17"/>
  <c r="F137" i="23" s="1"/>
  <c r="G137" i="17"/>
  <c r="G137" i="23" s="1"/>
  <c r="H137" i="17"/>
  <c r="H137" i="23" s="1"/>
  <c r="D138" i="17"/>
  <c r="D138" i="23" s="1"/>
  <c r="F138" i="17"/>
  <c r="F138" i="23" s="1"/>
  <c r="G138" i="17"/>
  <c r="G138" i="23" s="1"/>
  <c r="H138" i="17"/>
  <c r="H138" i="23" s="1"/>
  <c r="D139" i="17"/>
  <c r="D139" i="23" s="1"/>
  <c r="F139" i="17"/>
  <c r="F139" i="23" s="1"/>
  <c r="G139" i="17"/>
  <c r="G139" i="23" s="1"/>
  <c r="H139" i="17"/>
  <c r="H139" i="23" s="1"/>
  <c r="D140" i="17"/>
  <c r="D140" i="23" s="1"/>
  <c r="F140" i="17"/>
  <c r="G140" i="17"/>
  <c r="H140" i="17"/>
  <c r="D141" i="17"/>
  <c r="F141" i="17"/>
  <c r="F141" i="23" s="1"/>
  <c r="G141" i="17"/>
  <c r="H141" i="17"/>
  <c r="D70" i="17"/>
  <c r="D70" i="23" s="1"/>
  <c r="E70" i="17"/>
  <c r="F70" i="17"/>
  <c r="F70" i="23" s="1"/>
  <c r="G70" i="17"/>
  <c r="G70" i="23" s="1"/>
  <c r="H70" i="17"/>
  <c r="D71" i="17"/>
  <c r="E71" i="17"/>
  <c r="E71" i="23" s="1"/>
  <c r="F71" i="17"/>
  <c r="F71" i="23" s="1"/>
  <c r="G71" i="17"/>
  <c r="H71" i="17"/>
  <c r="D72" i="17"/>
  <c r="D72" i="23" s="1"/>
  <c r="E72" i="17"/>
  <c r="E72" i="23" s="1"/>
  <c r="F72" i="17"/>
  <c r="F72" i="23" s="1"/>
  <c r="G72" i="17"/>
  <c r="G72" i="23" s="1"/>
  <c r="H72" i="17"/>
  <c r="D73" i="17"/>
  <c r="E73" i="17"/>
  <c r="E73" i="23" s="1"/>
  <c r="F73" i="17"/>
  <c r="F73" i="23" s="1"/>
  <c r="G73" i="17"/>
  <c r="G73" i="23" s="1"/>
  <c r="H73" i="17"/>
  <c r="D74" i="17"/>
  <c r="E74" i="17"/>
  <c r="E74" i="23" s="1"/>
  <c r="F74" i="17"/>
  <c r="F74" i="23" s="1"/>
  <c r="G74" i="17"/>
  <c r="G74" i="23" s="1"/>
  <c r="H74" i="17"/>
  <c r="H74" i="23" s="1"/>
  <c r="D75" i="17"/>
  <c r="D75" i="23" s="1"/>
  <c r="E75" i="17"/>
  <c r="E75" i="23" s="1"/>
  <c r="F75" i="17"/>
  <c r="F75" i="23" s="1"/>
  <c r="G75" i="17"/>
  <c r="H75" i="17"/>
  <c r="D76" i="17"/>
  <c r="E76" i="17"/>
  <c r="E76" i="23" s="1"/>
  <c r="F76" i="17"/>
  <c r="F76" i="23" s="1"/>
  <c r="G76" i="17"/>
  <c r="G76" i="23" s="1"/>
  <c r="H76" i="17"/>
  <c r="D77" i="17"/>
  <c r="D77" i="23" s="1"/>
  <c r="E77" i="17"/>
  <c r="F77" i="17"/>
  <c r="G77" i="17"/>
  <c r="H77" i="17"/>
  <c r="D78" i="17"/>
  <c r="E78" i="17"/>
  <c r="E78" i="23" s="1"/>
  <c r="F78" i="17"/>
  <c r="F78" i="23" s="1"/>
  <c r="G78" i="17"/>
  <c r="G78" i="23" s="1"/>
  <c r="H78" i="17"/>
  <c r="D79" i="17"/>
  <c r="D79" i="23" s="1"/>
  <c r="E79" i="17"/>
  <c r="E79" i="23" s="1"/>
  <c r="F79" i="17"/>
  <c r="F79" i="23" s="1"/>
  <c r="G79" i="17"/>
  <c r="G79" i="23" s="1"/>
  <c r="H79" i="17"/>
  <c r="D80" i="17"/>
  <c r="E80" i="17"/>
  <c r="E80" i="23" s="1"/>
  <c r="F80" i="17"/>
  <c r="F80" i="23" s="1"/>
  <c r="G80" i="17"/>
  <c r="G80" i="23" s="1"/>
  <c r="H80" i="17"/>
  <c r="D81" i="17"/>
  <c r="D81" i="23" s="1"/>
  <c r="E81" i="17"/>
  <c r="E81" i="23" s="1"/>
  <c r="F81" i="17"/>
  <c r="F81" i="23" s="1"/>
  <c r="G81" i="17"/>
  <c r="G81" i="23" s="1"/>
  <c r="H81" i="17"/>
  <c r="H81" i="23" s="1"/>
  <c r="D82" i="17"/>
  <c r="E82" i="17"/>
  <c r="F82" i="17"/>
  <c r="G82" i="17"/>
  <c r="H82" i="17"/>
  <c r="H82" i="23" s="1"/>
  <c r="D83" i="17"/>
  <c r="D83" i="23" s="1"/>
  <c r="E83" i="17"/>
  <c r="E83" i="23" s="1"/>
  <c r="F83" i="17"/>
  <c r="F83" i="23" s="1"/>
  <c r="G83" i="17"/>
  <c r="H83" i="17"/>
  <c r="D84" i="17"/>
  <c r="D84" i="23" s="1"/>
  <c r="E84" i="17"/>
  <c r="E84" i="23" s="1"/>
  <c r="F84" i="17"/>
  <c r="F84" i="23" s="1"/>
  <c r="G84" i="17"/>
  <c r="G84" i="23" s="1"/>
  <c r="H84" i="17"/>
  <c r="D85" i="17"/>
  <c r="D85" i="23" s="1"/>
  <c r="E85" i="17"/>
  <c r="E85" i="23" s="1"/>
  <c r="F85" i="17"/>
  <c r="F85" i="23" s="1"/>
  <c r="G85" i="17"/>
  <c r="G85" i="23" s="1"/>
  <c r="H85" i="17"/>
  <c r="H86" i="23" s="1"/>
  <c r="D86" i="17"/>
  <c r="D86" i="23" s="1"/>
  <c r="E86" i="17"/>
  <c r="F86" i="17"/>
  <c r="F86" i="23" s="1"/>
  <c r="G86" i="17"/>
  <c r="G86" i="23" s="1"/>
  <c r="H86" i="17"/>
  <c r="D87" i="17"/>
  <c r="E87" i="17"/>
  <c r="F87" i="17"/>
  <c r="G87" i="17"/>
  <c r="H87" i="17"/>
  <c r="H87" i="23" s="1"/>
  <c r="D88" i="17"/>
  <c r="D88" i="23" s="1"/>
  <c r="E88" i="17"/>
  <c r="E88" i="23" s="1"/>
  <c r="F88" i="17"/>
  <c r="F88" i="23" s="1"/>
  <c r="G88" i="17"/>
  <c r="G88" i="23" s="1"/>
  <c r="H88" i="17"/>
  <c r="D89" i="17"/>
  <c r="D89" i="23" s="1"/>
  <c r="E89" i="17"/>
  <c r="E89" i="23" s="1"/>
  <c r="F89" i="17"/>
  <c r="F89" i="23" s="1"/>
  <c r="G89" i="17"/>
  <c r="G89" i="23" s="1"/>
  <c r="H89" i="17"/>
  <c r="D90" i="17"/>
  <c r="D90" i="23" s="1"/>
  <c r="E90" i="17"/>
  <c r="E90" i="23" s="1"/>
  <c r="F90" i="17"/>
  <c r="F90" i="23" s="1"/>
  <c r="G90" i="17"/>
  <c r="G90" i="23" s="1"/>
  <c r="H90" i="17"/>
  <c r="D91" i="17"/>
  <c r="D91" i="23" s="1"/>
  <c r="E91" i="17"/>
  <c r="F91" i="17"/>
  <c r="F91" i="23" s="1"/>
  <c r="G91" i="17"/>
  <c r="G91" i="23" s="1"/>
  <c r="H91" i="17"/>
  <c r="D92" i="17"/>
  <c r="E92" i="17"/>
  <c r="F92" i="17"/>
  <c r="G92" i="17"/>
  <c r="H92" i="17"/>
  <c r="H92" i="23" s="1"/>
  <c r="D93" i="17"/>
  <c r="D93" i="23" s="1"/>
  <c r="E93" i="17"/>
  <c r="E93" i="23" s="1"/>
  <c r="F93" i="17"/>
  <c r="F93" i="23" s="1"/>
  <c r="G93" i="17"/>
  <c r="G93" i="23" s="1"/>
  <c r="H93" i="17"/>
  <c r="D94" i="17"/>
  <c r="D94" i="23" s="1"/>
  <c r="E94" i="17"/>
  <c r="E94" i="23" s="1"/>
  <c r="F94" i="17"/>
  <c r="F94" i="23" s="1"/>
  <c r="G94" i="17"/>
  <c r="G94" i="23" s="1"/>
  <c r="H94" i="17"/>
  <c r="D95" i="17"/>
  <c r="D95" i="23" s="1"/>
  <c r="E95" i="17"/>
  <c r="F95" i="17"/>
  <c r="G95" i="17"/>
  <c r="G95" i="23" s="1"/>
  <c r="H95" i="17"/>
  <c r="H95" i="23" s="1"/>
  <c r="D96" i="17"/>
  <c r="E96" i="17"/>
  <c r="E96" i="23" s="1"/>
  <c r="F96" i="17"/>
  <c r="G96" i="17"/>
  <c r="H96" i="17"/>
  <c r="D97" i="17"/>
  <c r="E97" i="17"/>
  <c r="F97" i="17"/>
  <c r="F97" i="23" s="1"/>
  <c r="G97" i="17"/>
  <c r="G97" i="23" s="1"/>
  <c r="H97" i="17"/>
  <c r="H97" i="23" s="1"/>
  <c r="D98" i="17"/>
  <c r="E98" i="17"/>
  <c r="E98" i="23" s="1"/>
  <c r="F98" i="17"/>
  <c r="F98" i="23" s="1"/>
  <c r="G98" i="17"/>
  <c r="G98" i="23" s="1"/>
  <c r="H98" i="17"/>
  <c r="H98" i="23" s="1"/>
  <c r="D99" i="17"/>
  <c r="D99" i="23" s="1"/>
  <c r="E99" i="17"/>
  <c r="E99" i="23" s="1"/>
  <c r="F99" i="17"/>
  <c r="F99" i="23" s="1"/>
  <c r="G99" i="17"/>
  <c r="H99" i="17"/>
  <c r="D100" i="17"/>
  <c r="D100" i="23" s="1"/>
  <c r="E100" i="17"/>
  <c r="E100" i="23" s="1"/>
  <c r="F100" i="17"/>
  <c r="G100" i="17"/>
  <c r="G100" i="23" s="1"/>
  <c r="H100" i="17"/>
  <c r="D101" i="17"/>
  <c r="E101" i="17"/>
  <c r="F101" i="17"/>
  <c r="G101" i="17"/>
  <c r="H101" i="17"/>
  <c r="D102" i="17"/>
  <c r="E102" i="17"/>
  <c r="E102" i="23" s="1"/>
  <c r="F102" i="17"/>
  <c r="F102" i="23" s="1"/>
  <c r="G102" i="17"/>
  <c r="G102" i="23" s="1"/>
  <c r="H102" i="17"/>
  <c r="D103" i="17"/>
  <c r="D103" i="23" s="1"/>
  <c r="E103" i="17"/>
  <c r="E103" i="23" s="1"/>
  <c r="F103" i="17"/>
  <c r="F103" i="23" s="1"/>
  <c r="G103" i="17"/>
  <c r="G103" i="23" s="1"/>
  <c r="H103" i="17"/>
  <c r="D104" i="17"/>
  <c r="E104" i="17"/>
  <c r="E104" i="23" s="1"/>
  <c r="F104" i="17"/>
  <c r="F104" i="23" s="1"/>
  <c r="G104" i="17"/>
  <c r="H104" i="17"/>
  <c r="D105" i="17"/>
  <c r="D105" i="23" s="1"/>
  <c r="E105" i="17"/>
  <c r="E105" i="23" s="1"/>
  <c r="F105" i="17"/>
  <c r="G105" i="17"/>
  <c r="G105" i="23" s="1"/>
  <c r="H105" i="17"/>
  <c r="D106" i="17"/>
  <c r="D106" i="23" s="1"/>
  <c r="E106" i="17"/>
  <c r="F106" i="17"/>
  <c r="G106" i="17"/>
  <c r="H106" i="17"/>
  <c r="D107" i="17"/>
  <c r="E107" i="17"/>
  <c r="E107" i="23" s="1"/>
  <c r="F107" i="17"/>
  <c r="F107" i="23" s="1"/>
  <c r="G107" i="17"/>
  <c r="G107" i="23" s="1"/>
  <c r="H107" i="17"/>
  <c r="H107" i="23" s="1"/>
  <c r="D108" i="17"/>
  <c r="D108" i="23" s="1"/>
  <c r="E108" i="17"/>
  <c r="E108" i="23" s="1"/>
  <c r="F108" i="17"/>
  <c r="F108" i="23" s="1"/>
  <c r="G108" i="17"/>
  <c r="G108" i="23" s="1"/>
  <c r="H108" i="17"/>
  <c r="D109" i="17"/>
  <c r="D109" i="23" s="1"/>
  <c r="E109" i="17"/>
  <c r="E109" i="23" s="1"/>
  <c r="F109" i="17"/>
  <c r="G109" i="17"/>
  <c r="H109" i="17"/>
  <c r="H69" i="17"/>
  <c r="G69" i="17"/>
  <c r="G69" i="23" s="1"/>
  <c r="F69" i="17"/>
  <c r="F69" i="23" s="1"/>
  <c r="E69" i="17"/>
  <c r="D69" i="17"/>
  <c r="G7" i="17"/>
  <c r="G7" i="23" s="1"/>
  <c r="C62" i="15" l="1"/>
  <c r="H60" i="15"/>
  <c r="D54" i="15"/>
  <c r="D53" i="15"/>
  <c r="C52" i="15"/>
  <c r="C51" i="15"/>
  <c r="L70" i="15"/>
  <c r="M58" i="15"/>
  <c r="M64" i="15"/>
  <c r="M76" i="15"/>
  <c r="M84" i="15"/>
  <c r="M94" i="15"/>
  <c r="M100" i="15"/>
  <c r="M104" i="15"/>
  <c r="M108" i="15"/>
  <c r="M116" i="15"/>
  <c r="M120" i="15"/>
  <c r="M124" i="15"/>
  <c r="M130" i="15"/>
  <c r="M136" i="15"/>
  <c r="M138" i="15"/>
  <c r="M142" i="15"/>
  <c r="N52" i="15"/>
  <c r="N58" i="15"/>
  <c r="N64" i="15"/>
  <c r="N68" i="15"/>
  <c r="N70" i="15"/>
  <c r="N74" i="15"/>
  <c r="N76" i="15"/>
  <c r="N78" i="15"/>
  <c r="N80" i="15"/>
  <c r="N86" i="15"/>
  <c r="N88" i="15"/>
  <c r="N90" i="15"/>
  <c r="N92" i="15"/>
  <c r="N94" i="15"/>
  <c r="N96" i="15"/>
  <c r="N98" i="15"/>
  <c r="N100" i="15"/>
  <c r="N104" i="15"/>
  <c r="N106" i="15"/>
  <c r="N108" i="15"/>
  <c r="N110" i="15"/>
  <c r="N112" i="15"/>
  <c r="N114" i="15"/>
  <c r="N116" i="15"/>
  <c r="N118" i="15"/>
  <c r="N120" i="15"/>
  <c r="N122" i="15"/>
  <c r="N126" i="15"/>
  <c r="N128" i="15"/>
  <c r="N132" i="15"/>
  <c r="N134" i="15"/>
  <c r="N136" i="15"/>
  <c r="N138" i="15"/>
  <c r="N140" i="15"/>
  <c r="N142" i="15"/>
  <c r="M62" i="15"/>
  <c r="M72" i="15"/>
  <c r="M80" i="15"/>
  <c r="M90" i="15"/>
  <c r="M112" i="15"/>
  <c r="N62" i="15"/>
  <c r="N72" i="15"/>
  <c r="N130" i="15"/>
  <c r="M66" i="15"/>
  <c r="M74" i="15"/>
  <c r="M86" i="15"/>
  <c r="M110" i="15"/>
  <c r="N56" i="15"/>
  <c r="N66" i="15"/>
  <c r="N84" i="15"/>
  <c r="M56" i="15"/>
  <c r="M68" i="15"/>
  <c r="M70" i="15"/>
  <c r="M78" i="15"/>
  <c r="M88" i="15"/>
  <c r="M92" i="15"/>
  <c r="M96" i="15"/>
  <c r="M102" i="15"/>
  <c r="M106" i="15"/>
  <c r="M114" i="15"/>
  <c r="M118" i="15"/>
  <c r="M122" i="15"/>
  <c r="M126" i="15"/>
  <c r="M132" i="15"/>
  <c r="M134" i="15"/>
  <c r="M140" i="15"/>
  <c r="L126" i="15"/>
  <c r="J51" i="15"/>
  <c r="J57" i="15"/>
  <c r="J63" i="15"/>
  <c r="J69" i="15"/>
  <c r="J75" i="15"/>
  <c r="J79" i="15"/>
  <c r="J83" i="15"/>
  <c r="J87" i="15"/>
  <c r="J89" i="15"/>
  <c r="J91" i="15"/>
  <c r="J93" i="15"/>
  <c r="J97" i="15"/>
  <c r="J101" i="15"/>
  <c r="J103" i="15"/>
  <c r="J105" i="15"/>
  <c r="J107" i="15"/>
  <c r="J109" i="15"/>
  <c r="J111" i="15"/>
  <c r="J113" i="15"/>
  <c r="J115" i="15"/>
  <c r="J117" i="15"/>
  <c r="J119" i="15"/>
  <c r="J121" i="15"/>
  <c r="J123" i="15"/>
  <c r="J125" i="15"/>
  <c r="J129" i="15"/>
  <c r="J133" i="15"/>
  <c r="J135" i="15"/>
  <c r="J139" i="15"/>
  <c r="J141" i="15"/>
  <c r="J143" i="15"/>
  <c r="J55" i="15"/>
  <c r="J59" i="15"/>
  <c r="J61" i="15"/>
  <c r="J65" i="15"/>
  <c r="J67" i="15"/>
  <c r="J71" i="15"/>
  <c r="J73" i="15"/>
  <c r="J77" i="15"/>
  <c r="J81" i="15"/>
  <c r="J99" i="15"/>
  <c r="J53" i="15"/>
  <c r="H77" i="23"/>
  <c r="H106" i="23"/>
  <c r="H79" i="23"/>
  <c r="H94" i="23"/>
  <c r="I91" i="15"/>
  <c r="H146" i="23"/>
  <c r="H136" i="23"/>
  <c r="I118" i="15"/>
  <c r="I120" i="15"/>
  <c r="H101" i="23"/>
  <c r="H134" i="23"/>
  <c r="I124" i="15"/>
  <c r="I122" i="15"/>
  <c r="I121" i="15"/>
  <c r="H124" i="23"/>
  <c r="I110" i="15"/>
  <c r="H114" i="23"/>
  <c r="I109" i="15"/>
  <c r="H113" i="23"/>
  <c r="H112" i="23"/>
  <c r="I104" i="15"/>
  <c r="H103" i="23"/>
  <c r="H100" i="23"/>
  <c r="I82" i="15"/>
  <c r="H99" i="23"/>
  <c r="H91" i="23"/>
  <c r="H90" i="23"/>
  <c r="I74" i="15"/>
  <c r="H73" i="23"/>
  <c r="H72" i="23"/>
  <c r="H71" i="23"/>
  <c r="I65" i="15"/>
  <c r="I58" i="15"/>
  <c r="L67" i="15"/>
  <c r="L66" i="15"/>
  <c r="M61" i="15"/>
  <c r="M129" i="15"/>
  <c r="N69" i="15"/>
  <c r="N91" i="15"/>
  <c r="N113" i="15"/>
  <c r="J50" i="15"/>
  <c r="L54" i="15"/>
  <c r="L53" i="15"/>
  <c r="L58" i="15"/>
  <c r="M123" i="15"/>
  <c r="N60" i="15"/>
  <c r="N59" i="15"/>
  <c r="L118" i="15"/>
  <c r="N99" i="15"/>
  <c r="M77" i="15"/>
  <c r="L132" i="15"/>
  <c r="L106" i="15"/>
  <c r="M99" i="15"/>
  <c r="E58" i="15"/>
  <c r="N54" i="15"/>
  <c r="N53" i="15"/>
  <c r="N82" i="15"/>
  <c r="N81" i="15"/>
  <c r="M103" i="15"/>
  <c r="L88" i="15"/>
  <c r="N77" i="15"/>
  <c r="N51" i="15"/>
  <c r="I51" i="15"/>
  <c r="I55" i="15"/>
  <c r="I54" i="15"/>
  <c r="I57" i="15"/>
  <c r="I59" i="15"/>
  <c r="I61" i="15"/>
  <c r="I63" i="15"/>
  <c r="I73" i="15"/>
  <c r="I81" i="15"/>
  <c r="I87" i="15"/>
  <c r="I89" i="15"/>
  <c r="I93" i="15"/>
  <c r="I95" i="15"/>
  <c r="I99" i="15"/>
  <c r="I103" i="15"/>
  <c r="I107" i="15"/>
  <c r="I113" i="15"/>
  <c r="L114" i="15"/>
  <c r="I106" i="15"/>
  <c r="L80" i="15"/>
  <c r="I77" i="15"/>
  <c r="M73" i="15"/>
  <c r="N125" i="15"/>
  <c r="M95" i="15"/>
  <c r="N57" i="15"/>
  <c r="M82" i="15"/>
  <c r="M81" i="15"/>
  <c r="L91" i="15"/>
  <c r="L90" i="15"/>
  <c r="L111" i="15"/>
  <c r="L110" i="15"/>
  <c r="L131" i="15"/>
  <c r="L130" i="15"/>
  <c r="M89" i="15"/>
  <c r="M93" i="15"/>
  <c r="M109" i="15"/>
  <c r="N119" i="15"/>
  <c r="L105" i="15"/>
  <c r="L104" i="15"/>
  <c r="M71" i="15"/>
  <c r="M98" i="15"/>
  <c r="M97" i="15"/>
  <c r="M85" i="15"/>
  <c r="M91" i="15"/>
  <c r="M107" i="15"/>
  <c r="M137" i="15"/>
  <c r="N143" i="15"/>
  <c r="N67" i="15"/>
  <c r="N111" i="15"/>
  <c r="N141" i="15"/>
  <c r="N83" i="15"/>
  <c r="D62" i="15"/>
  <c r="D61" i="15"/>
  <c r="L86" i="15"/>
  <c r="N61" i="15"/>
  <c r="M57" i="15"/>
  <c r="M135" i="15"/>
  <c r="N71" i="15"/>
  <c r="N93" i="15"/>
  <c r="N115" i="15"/>
  <c r="N135" i="15"/>
  <c r="E56" i="15"/>
  <c r="E60" i="15"/>
  <c r="I86" i="15"/>
  <c r="M52" i="15"/>
  <c r="M51" i="15"/>
  <c r="M54" i="15"/>
  <c r="M53" i="15"/>
  <c r="M60" i="15"/>
  <c r="M59" i="15"/>
  <c r="N102" i="15"/>
  <c r="N101" i="15"/>
  <c r="M113" i="15"/>
  <c r="N65" i="15"/>
  <c r="F60" i="15"/>
  <c r="F59" i="15"/>
  <c r="M101" i="15"/>
  <c r="N79" i="15"/>
  <c r="L68" i="15"/>
  <c r="N55" i="15"/>
  <c r="M128" i="15"/>
  <c r="M127" i="15"/>
  <c r="M141" i="15"/>
  <c r="N103" i="15"/>
  <c r="L61" i="15"/>
  <c r="L60" i="15"/>
  <c r="L85" i="15"/>
  <c r="L84" i="15"/>
  <c r="L137" i="15"/>
  <c r="L136" i="15"/>
  <c r="L128" i="15"/>
  <c r="M125" i="15"/>
  <c r="N121" i="15"/>
  <c r="M65" i="15"/>
  <c r="M67" i="15"/>
  <c r="M105" i="15"/>
  <c r="M111" i="15"/>
  <c r="M115" i="15"/>
  <c r="M119" i="15"/>
  <c r="M139" i="15"/>
  <c r="N73" i="15"/>
  <c r="N139" i="15"/>
  <c r="F52" i="15"/>
  <c r="F56" i="15"/>
  <c r="F55" i="15"/>
  <c r="F62" i="15"/>
  <c r="N127" i="15"/>
  <c r="M79" i="15"/>
  <c r="M55" i="15"/>
  <c r="L117" i="15"/>
  <c r="L116" i="15"/>
  <c r="L102" i="15"/>
  <c r="M87" i="15"/>
  <c r="M131" i="15"/>
  <c r="N109" i="15"/>
  <c r="N133" i="15"/>
  <c r="N105" i="15"/>
  <c r="F54" i="15"/>
  <c r="F50" i="15"/>
  <c r="L138" i="15"/>
  <c r="L112" i="15"/>
  <c r="N97" i="15"/>
  <c r="I94" i="15"/>
  <c r="N75" i="15"/>
  <c r="M69" i="15"/>
  <c r="N89" i="15"/>
  <c r="N95" i="15"/>
  <c r="N131" i="15"/>
  <c r="I70" i="15"/>
  <c r="I69" i="15"/>
  <c r="I102" i="15"/>
  <c r="I101" i="15"/>
  <c r="I126" i="15"/>
  <c r="I130" i="15"/>
  <c r="I134" i="15"/>
  <c r="I133" i="15"/>
  <c r="I138" i="15"/>
  <c r="I142" i="15"/>
  <c r="I112" i="15"/>
  <c r="L82" i="15"/>
  <c r="M75" i="15"/>
  <c r="E54" i="15"/>
  <c r="M143" i="15"/>
  <c r="N124" i="15"/>
  <c r="N123" i="15"/>
  <c r="N129" i="15"/>
  <c r="M63" i="15"/>
  <c r="M83" i="15"/>
  <c r="M117" i="15"/>
  <c r="M133" i="15"/>
  <c r="M121" i="15"/>
  <c r="N63" i="15"/>
  <c r="N87" i="15"/>
  <c r="N107" i="15"/>
  <c r="N117" i="15"/>
  <c r="N137" i="15"/>
  <c r="L64" i="15"/>
  <c r="J52" i="15"/>
  <c r="J54" i="15"/>
  <c r="J56" i="15"/>
  <c r="J58" i="15"/>
  <c r="J60" i="15"/>
  <c r="J62" i="15"/>
  <c r="J64" i="15"/>
  <c r="J66" i="15"/>
  <c r="J68" i="15"/>
  <c r="J70" i="15"/>
  <c r="J72" i="15"/>
  <c r="J74" i="15"/>
  <c r="J76" i="15"/>
  <c r="J78" i="15"/>
  <c r="J80" i="15"/>
  <c r="J82" i="15"/>
  <c r="J84" i="15"/>
  <c r="J86" i="15"/>
  <c r="J88" i="15"/>
  <c r="J90" i="15"/>
  <c r="J92" i="15"/>
  <c r="J94" i="15"/>
  <c r="J96" i="15"/>
  <c r="J98" i="15"/>
  <c r="J100" i="15"/>
  <c r="J102" i="15"/>
  <c r="J104" i="15"/>
  <c r="J106" i="15"/>
  <c r="J108" i="15"/>
  <c r="J110" i="15"/>
  <c r="J112" i="15"/>
  <c r="J114" i="15"/>
  <c r="J116" i="15"/>
  <c r="J118" i="15"/>
  <c r="J120" i="15"/>
  <c r="J122" i="15"/>
  <c r="J124" i="15"/>
  <c r="J126" i="15"/>
  <c r="J128" i="15"/>
  <c r="J127" i="15"/>
  <c r="J130" i="15"/>
  <c r="J132" i="15"/>
  <c r="J134" i="15"/>
  <c r="J136" i="15"/>
  <c r="J138" i="15"/>
  <c r="J140" i="15"/>
  <c r="J142" i="15"/>
  <c r="L134" i="15"/>
  <c r="L108" i="15"/>
  <c r="L62" i="15"/>
  <c r="C53" i="15"/>
  <c r="C55" i="15"/>
  <c r="C57" i="15"/>
  <c r="C59" i="15"/>
  <c r="C61" i="15"/>
  <c r="C63" i="15"/>
  <c r="D57" i="15"/>
  <c r="D59" i="15"/>
  <c r="D63" i="15"/>
  <c r="G53" i="15"/>
  <c r="G55" i="15"/>
  <c r="G57" i="15"/>
  <c r="G61" i="15"/>
  <c r="G63" i="15"/>
  <c r="G51" i="15"/>
  <c r="G59" i="15"/>
  <c r="H51" i="15"/>
  <c r="H53" i="15"/>
  <c r="H55" i="15"/>
  <c r="H57" i="15"/>
  <c r="H59" i="15"/>
  <c r="H61" i="15"/>
  <c r="H63" i="15"/>
  <c r="H145" i="23"/>
  <c r="H111" i="23"/>
  <c r="H128" i="23"/>
  <c r="H117" i="23"/>
  <c r="H76" i="23"/>
  <c r="H122" i="23"/>
  <c r="H80" i="23"/>
  <c r="H127" i="23"/>
  <c r="H116" i="23"/>
  <c r="H143" i="23"/>
  <c r="H85" i="23"/>
  <c r="H133" i="23"/>
  <c r="H70" i="23"/>
  <c r="H123" i="23"/>
  <c r="H88" i="23"/>
  <c r="H126" i="23"/>
  <c r="H89" i="23"/>
  <c r="H132" i="23"/>
  <c r="H142" i="23"/>
  <c r="H83" i="23"/>
  <c r="H105" i="23"/>
  <c r="H93" i="23"/>
  <c r="H109" i="23"/>
  <c r="H141" i="23"/>
  <c r="H131" i="23"/>
  <c r="H102" i="23"/>
  <c r="H78" i="23"/>
  <c r="H121" i="23"/>
  <c r="H147" i="23"/>
  <c r="H75" i="23"/>
  <c r="M43" i="22"/>
  <c r="B43" i="22"/>
  <c r="M42" i="22"/>
  <c r="B42" i="22"/>
  <c r="M41" i="22"/>
  <c r="B41" i="22"/>
  <c r="M40" i="22"/>
  <c r="B40" i="22"/>
  <c r="M39" i="22"/>
  <c r="B39" i="22"/>
  <c r="M38" i="22"/>
  <c r="B38" i="22"/>
  <c r="M37" i="22"/>
  <c r="B37" i="22"/>
  <c r="M36" i="22"/>
  <c r="B36" i="22"/>
  <c r="M35" i="22"/>
  <c r="B35" i="22"/>
  <c r="M34" i="22"/>
  <c r="B34" i="22"/>
  <c r="M33" i="22"/>
  <c r="B33" i="22"/>
  <c r="M32" i="22"/>
  <c r="B32" i="22"/>
  <c r="M31" i="22"/>
  <c r="B31" i="22"/>
  <c r="M30" i="22"/>
  <c r="B30" i="22"/>
  <c r="M29" i="22"/>
  <c r="B29" i="22"/>
  <c r="M28" i="22"/>
  <c r="B28" i="22"/>
  <c r="M27" i="22"/>
  <c r="B27" i="22"/>
  <c r="M26" i="22"/>
  <c r="B26" i="22"/>
  <c r="M25" i="22"/>
  <c r="B25" i="22"/>
  <c r="M24" i="22"/>
  <c r="B24" i="22"/>
  <c r="M23" i="22"/>
  <c r="B23" i="22"/>
  <c r="M22" i="22"/>
  <c r="B22" i="22"/>
  <c r="M21" i="22"/>
  <c r="B21" i="22"/>
  <c r="M20" i="22"/>
  <c r="B20" i="22"/>
  <c r="M19" i="22"/>
  <c r="B19" i="22"/>
  <c r="M18" i="22"/>
  <c r="B18" i="22"/>
  <c r="M17" i="22"/>
  <c r="B17" i="22"/>
  <c r="M16" i="22"/>
  <c r="B16" i="22"/>
  <c r="M15" i="22"/>
  <c r="B15" i="22"/>
  <c r="M14" i="22"/>
  <c r="B14" i="22"/>
  <c r="M13" i="22"/>
  <c r="B13" i="22"/>
  <c r="M12" i="22"/>
  <c r="B12" i="22"/>
  <c r="M11" i="22"/>
  <c r="B11" i="22"/>
  <c r="M10" i="22"/>
  <c r="B10" i="22"/>
  <c r="M9" i="22"/>
  <c r="B9" i="22"/>
  <c r="M8" i="22"/>
  <c r="B8" i="22"/>
  <c r="M7" i="22"/>
  <c r="B7" i="22"/>
  <c r="M6" i="22"/>
  <c r="B6" i="22"/>
  <c r="M5" i="22"/>
  <c r="B5" i="22"/>
  <c r="M46" i="21"/>
  <c r="B46" i="21"/>
  <c r="M45" i="21"/>
  <c r="B45" i="21"/>
  <c r="M44" i="21"/>
  <c r="B44" i="21"/>
  <c r="M43" i="21"/>
  <c r="B43" i="21"/>
  <c r="M42" i="21"/>
  <c r="B42" i="21"/>
  <c r="M41" i="21"/>
  <c r="B41" i="21"/>
  <c r="M40" i="21"/>
  <c r="B40" i="21"/>
  <c r="M39" i="21"/>
  <c r="B39" i="21"/>
  <c r="M38" i="21"/>
  <c r="B38" i="21"/>
  <c r="M37" i="21"/>
  <c r="B37" i="21"/>
  <c r="M36" i="21"/>
  <c r="B36" i="21"/>
  <c r="M35" i="21"/>
  <c r="B35" i="21"/>
  <c r="M34" i="21"/>
  <c r="B34" i="21"/>
  <c r="M33" i="21"/>
  <c r="B33" i="21"/>
  <c r="M32" i="21"/>
  <c r="B32" i="21"/>
  <c r="M31" i="21"/>
  <c r="B31" i="21"/>
  <c r="M30" i="21"/>
  <c r="B30" i="21"/>
  <c r="M29" i="21"/>
  <c r="B29" i="21"/>
  <c r="M28" i="21"/>
  <c r="B28" i="21"/>
  <c r="M27" i="21"/>
  <c r="B27" i="21"/>
  <c r="M26" i="21"/>
  <c r="B26" i="21"/>
  <c r="M25" i="21"/>
  <c r="B25" i="21"/>
  <c r="M24" i="21"/>
  <c r="B24" i="21"/>
  <c r="M23" i="21"/>
  <c r="B23" i="21"/>
  <c r="M22" i="21"/>
  <c r="B22" i="21"/>
  <c r="M21" i="21"/>
  <c r="B21" i="21"/>
  <c r="M20" i="21"/>
  <c r="B20" i="21"/>
  <c r="M19" i="21"/>
  <c r="B19" i="21"/>
  <c r="M18" i="21"/>
  <c r="B18" i="21"/>
  <c r="M17" i="21"/>
  <c r="B17" i="21"/>
  <c r="M16" i="21"/>
  <c r="B16" i="21"/>
  <c r="M15" i="21"/>
  <c r="B15" i="21"/>
  <c r="M14" i="21"/>
  <c r="B14" i="21"/>
  <c r="M13" i="21"/>
  <c r="B13" i="21"/>
  <c r="M12" i="21"/>
  <c r="B12" i="21"/>
  <c r="M11" i="21"/>
  <c r="B11" i="21"/>
  <c r="M10" i="21"/>
  <c r="B10" i="21"/>
  <c r="M9" i="21"/>
  <c r="B9" i="21"/>
  <c r="M8" i="21"/>
  <c r="B8" i="21"/>
  <c r="M7" i="21"/>
  <c r="B7" i="21"/>
  <c r="M6" i="21"/>
  <c r="B6" i="21"/>
  <c r="M5" i="21"/>
  <c r="B5" i="21"/>
  <c r="H36" i="17"/>
  <c r="H36" i="23" s="1"/>
  <c r="H35" i="17"/>
  <c r="H35" i="23" s="1"/>
  <c r="B6" i="2"/>
  <c r="B5"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D7" i="17" l="1"/>
  <c r="D7" i="23" s="1"/>
  <c r="D8" i="17"/>
  <c r="D8" i="23" s="1"/>
  <c r="E8" i="17"/>
  <c r="E8" i="23" s="1"/>
  <c r="F8" i="17"/>
  <c r="F8" i="23" s="1"/>
  <c r="G8" i="17"/>
  <c r="G8" i="23" s="1"/>
  <c r="H8" i="17"/>
  <c r="H8" i="23" s="1"/>
  <c r="D9" i="17"/>
  <c r="D9" i="23" s="1"/>
  <c r="E9" i="17"/>
  <c r="E9" i="23" s="1"/>
  <c r="F9" i="17"/>
  <c r="F9" i="23" s="1"/>
  <c r="G9" i="17"/>
  <c r="G9" i="23" s="1"/>
  <c r="H9" i="17"/>
  <c r="H9" i="23" s="1"/>
  <c r="D10" i="17"/>
  <c r="D10" i="23" s="1"/>
  <c r="E10" i="17"/>
  <c r="E10" i="23" s="1"/>
  <c r="F10" i="17"/>
  <c r="F10" i="23" s="1"/>
  <c r="G10" i="17"/>
  <c r="G10" i="23" s="1"/>
  <c r="H10" i="17"/>
  <c r="H10" i="23" s="1"/>
  <c r="D11" i="17"/>
  <c r="D11" i="23" s="1"/>
  <c r="E11" i="17"/>
  <c r="E11" i="23" s="1"/>
  <c r="F11" i="17"/>
  <c r="F11" i="23" s="1"/>
  <c r="G11" i="17"/>
  <c r="G11" i="23" s="1"/>
  <c r="H11" i="17"/>
  <c r="H11" i="23" s="1"/>
  <c r="D12" i="17"/>
  <c r="D12" i="23" s="1"/>
  <c r="E12" i="17"/>
  <c r="E12" i="23" s="1"/>
  <c r="F12" i="17"/>
  <c r="F12" i="23" s="1"/>
  <c r="G12" i="17"/>
  <c r="G12" i="23" s="1"/>
  <c r="H12" i="17"/>
  <c r="H12" i="23" s="1"/>
  <c r="D13" i="17"/>
  <c r="D13" i="23" s="1"/>
  <c r="E13" i="17"/>
  <c r="E13" i="23" s="1"/>
  <c r="F13" i="17"/>
  <c r="F13" i="23" s="1"/>
  <c r="G13" i="17"/>
  <c r="G13" i="23" s="1"/>
  <c r="H13" i="17"/>
  <c r="H13" i="23" s="1"/>
  <c r="D14" i="17"/>
  <c r="D14" i="23" s="1"/>
  <c r="E14" i="17"/>
  <c r="E14" i="23" s="1"/>
  <c r="F14" i="17"/>
  <c r="F14" i="23" s="1"/>
  <c r="G14" i="17"/>
  <c r="G14" i="23" s="1"/>
  <c r="H14" i="17"/>
  <c r="H14" i="23" s="1"/>
  <c r="D15" i="17"/>
  <c r="D15" i="23" s="1"/>
  <c r="E15" i="17"/>
  <c r="E15" i="23" s="1"/>
  <c r="F15" i="17"/>
  <c r="F15" i="23" s="1"/>
  <c r="G15" i="17"/>
  <c r="G15" i="23" s="1"/>
  <c r="H15" i="17"/>
  <c r="H15" i="23" s="1"/>
  <c r="D16" i="17"/>
  <c r="D16" i="23" s="1"/>
  <c r="E16" i="17"/>
  <c r="E16" i="23" s="1"/>
  <c r="F16" i="17"/>
  <c r="F16" i="23" s="1"/>
  <c r="G16" i="17"/>
  <c r="G16" i="23" s="1"/>
  <c r="H16" i="17"/>
  <c r="H16" i="23" s="1"/>
  <c r="D17" i="17"/>
  <c r="D17" i="23" s="1"/>
  <c r="E17" i="17"/>
  <c r="E17" i="23" s="1"/>
  <c r="F17" i="17"/>
  <c r="F17" i="23" s="1"/>
  <c r="G17" i="17"/>
  <c r="G17" i="23" s="1"/>
  <c r="H17" i="17"/>
  <c r="H17" i="23" s="1"/>
  <c r="D18" i="17"/>
  <c r="D18" i="23" s="1"/>
  <c r="E18" i="17"/>
  <c r="E18" i="23" s="1"/>
  <c r="F18" i="17"/>
  <c r="F18" i="23" s="1"/>
  <c r="G18" i="17"/>
  <c r="G18" i="23" s="1"/>
  <c r="H18" i="17"/>
  <c r="H18" i="23" s="1"/>
  <c r="D19" i="17"/>
  <c r="D19" i="23" s="1"/>
  <c r="E19" i="17"/>
  <c r="E19" i="23" s="1"/>
  <c r="F19" i="17"/>
  <c r="F19" i="23" s="1"/>
  <c r="H19" i="17"/>
  <c r="H19" i="23" s="1"/>
  <c r="D20" i="17"/>
  <c r="D20" i="23" s="1"/>
  <c r="E20" i="17"/>
  <c r="E20" i="23" s="1"/>
  <c r="F20" i="17"/>
  <c r="F20" i="23" s="1"/>
  <c r="G20" i="17"/>
  <c r="G20" i="23" s="1"/>
  <c r="H20" i="17"/>
  <c r="H20" i="23" s="1"/>
  <c r="D21" i="17"/>
  <c r="D21" i="23" s="1"/>
  <c r="E21" i="17"/>
  <c r="E21" i="23" s="1"/>
  <c r="F21" i="17"/>
  <c r="F21" i="23" s="1"/>
  <c r="G21" i="17"/>
  <c r="G21" i="23" s="1"/>
  <c r="H21" i="17"/>
  <c r="H21" i="23" s="1"/>
  <c r="D22" i="17"/>
  <c r="D22" i="23" s="1"/>
  <c r="E22" i="17"/>
  <c r="E22" i="23" s="1"/>
  <c r="F22" i="17"/>
  <c r="F22" i="23" s="1"/>
  <c r="G22" i="17"/>
  <c r="G22" i="23" s="1"/>
  <c r="H22" i="17"/>
  <c r="H22" i="23" s="1"/>
  <c r="D23" i="17"/>
  <c r="D23" i="23" s="1"/>
  <c r="E23" i="17"/>
  <c r="E23" i="23" s="1"/>
  <c r="F23" i="17"/>
  <c r="F23" i="23" s="1"/>
  <c r="G23" i="17"/>
  <c r="G23" i="23" s="1"/>
  <c r="H23" i="17"/>
  <c r="H23" i="23" s="1"/>
  <c r="D24" i="17"/>
  <c r="D24" i="23" s="1"/>
  <c r="E24" i="17"/>
  <c r="E24" i="23" s="1"/>
  <c r="F24" i="17"/>
  <c r="F24" i="23" s="1"/>
  <c r="G24" i="17"/>
  <c r="G24" i="23" s="1"/>
  <c r="H24" i="17"/>
  <c r="H24" i="23" s="1"/>
  <c r="D25" i="17"/>
  <c r="D25" i="23" s="1"/>
  <c r="E25" i="17"/>
  <c r="E25" i="23" s="1"/>
  <c r="F25" i="17"/>
  <c r="F25" i="23" s="1"/>
  <c r="G25" i="17"/>
  <c r="G25" i="23" s="1"/>
  <c r="H25" i="17"/>
  <c r="H25" i="23" s="1"/>
  <c r="D26" i="17"/>
  <c r="D26" i="23" s="1"/>
  <c r="E26" i="17"/>
  <c r="E26" i="23" s="1"/>
  <c r="F26" i="17"/>
  <c r="F26" i="23" s="1"/>
  <c r="G26" i="17"/>
  <c r="G26" i="23" s="1"/>
  <c r="H26" i="17"/>
  <c r="H26" i="23" s="1"/>
  <c r="D27" i="17"/>
  <c r="D27" i="23" s="1"/>
  <c r="E27" i="17"/>
  <c r="E27" i="23" s="1"/>
  <c r="F27" i="17"/>
  <c r="F27" i="23" s="1"/>
  <c r="G27" i="17"/>
  <c r="G27" i="23" s="1"/>
  <c r="H27" i="17"/>
  <c r="H27" i="23" s="1"/>
  <c r="D28" i="17"/>
  <c r="D28" i="23" s="1"/>
  <c r="E28" i="17"/>
  <c r="E28" i="23" s="1"/>
  <c r="F28" i="17"/>
  <c r="F28" i="23" s="1"/>
  <c r="G28" i="17"/>
  <c r="G28" i="23" s="1"/>
  <c r="H28" i="17"/>
  <c r="H28" i="23" s="1"/>
  <c r="D29" i="17"/>
  <c r="D29" i="23" s="1"/>
  <c r="E29" i="17"/>
  <c r="E29" i="23" s="1"/>
  <c r="F29" i="17"/>
  <c r="F29" i="23" s="1"/>
  <c r="G29" i="17"/>
  <c r="G29" i="23" s="1"/>
  <c r="H29" i="17"/>
  <c r="H29" i="23" s="1"/>
  <c r="D30" i="17"/>
  <c r="D30" i="23" s="1"/>
  <c r="E30" i="17"/>
  <c r="E30" i="23" s="1"/>
  <c r="F30" i="17"/>
  <c r="F30" i="23" s="1"/>
  <c r="G30" i="17"/>
  <c r="G30" i="23" s="1"/>
  <c r="H30" i="17"/>
  <c r="H30" i="23" s="1"/>
  <c r="D31" i="17"/>
  <c r="D31" i="23" s="1"/>
  <c r="E31" i="17"/>
  <c r="E31" i="23" s="1"/>
  <c r="F31" i="17"/>
  <c r="F31" i="23" s="1"/>
  <c r="G31" i="17"/>
  <c r="G31" i="23" s="1"/>
  <c r="H31" i="17"/>
  <c r="H31" i="23" s="1"/>
  <c r="D32" i="17"/>
  <c r="D32" i="23" s="1"/>
  <c r="E32" i="17"/>
  <c r="E32" i="23" s="1"/>
  <c r="F32" i="17"/>
  <c r="F32" i="23" s="1"/>
  <c r="G32" i="17"/>
  <c r="G32" i="23" s="1"/>
  <c r="H32" i="17"/>
  <c r="H32" i="23" s="1"/>
  <c r="D33" i="17"/>
  <c r="D33" i="23" s="1"/>
  <c r="E33" i="17"/>
  <c r="E33" i="23" s="1"/>
  <c r="F33" i="17"/>
  <c r="F33" i="23" s="1"/>
  <c r="G33" i="17"/>
  <c r="G33" i="23" s="1"/>
  <c r="H33" i="17"/>
  <c r="H33" i="23" s="1"/>
  <c r="D34" i="17"/>
  <c r="D34" i="23" s="1"/>
  <c r="E34" i="17"/>
  <c r="E34" i="23" s="1"/>
  <c r="F34" i="17"/>
  <c r="F34" i="23" s="1"/>
  <c r="G34" i="17"/>
  <c r="G34" i="23" s="1"/>
  <c r="H34" i="17"/>
  <c r="H34" i="23" s="1"/>
  <c r="D35" i="17"/>
  <c r="D35" i="23" s="1"/>
  <c r="E35" i="17"/>
  <c r="E35" i="23" s="1"/>
  <c r="F35" i="17"/>
  <c r="F35" i="23" s="1"/>
  <c r="G35" i="17"/>
  <c r="G35" i="23" s="1"/>
  <c r="D36" i="17"/>
  <c r="D36" i="23" s="1"/>
  <c r="E36" i="17"/>
  <c r="E36" i="23" s="1"/>
  <c r="F36" i="17"/>
  <c r="F36" i="23" s="1"/>
  <c r="G36" i="17"/>
  <c r="G36" i="23" s="1"/>
  <c r="D37" i="17"/>
  <c r="D37" i="23" s="1"/>
  <c r="E37" i="17"/>
  <c r="E37" i="23" s="1"/>
  <c r="F37" i="17"/>
  <c r="F37" i="23" s="1"/>
  <c r="G37" i="17"/>
  <c r="G37" i="23" s="1"/>
  <c r="H37" i="17"/>
  <c r="H37" i="23" s="1"/>
  <c r="D38" i="17"/>
  <c r="D38" i="23" s="1"/>
  <c r="E38" i="17"/>
  <c r="E38" i="23" s="1"/>
  <c r="F38" i="17"/>
  <c r="F38" i="23" s="1"/>
  <c r="G38" i="17"/>
  <c r="G38" i="23" s="1"/>
  <c r="H38" i="17"/>
  <c r="H38" i="23" s="1"/>
  <c r="D39" i="17"/>
  <c r="D39" i="23" s="1"/>
  <c r="E39" i="17"/>
  <c r="E39" i="23" s="1"/>
  <c r="F39" i="17"/>
  <c r="F39" i="23" s="1"/>
  <c r="G39" i="17"/>
  <c r="G39" i="23" s="1"/>
  <c r="H39" i="17"/>
  <c r="H39" i="23" s="1"/>
  <c r="D40" i="17"/>
  <c r="D40" i="23" s="1"/>
  <c r="E40" i="17"/>
  <c r="E40" i="23" s="1"/>
  <c r="F40" i="17"/>
  <c r="F40" i="23" s="1"/>
  <c r="G40" i="17"/>
  <c r="G40" i="23" s="1"/>
  <c r="H40" i="17"/>
  <c r="H40" i="23" s="1"/>
  <c r="D41" i="17"/>
  <c r="D41" i="23" s="1"/>
  <c r="E41" i="17"/>
  <c r="E41" i="23" s="1"/>
  <c r="F41" i="17"/>
  <c r="F41" i="23" s="1"/>
  <c r="G41" i="17"/>
  <c r="G41" i="23" s="1"/>
  <c r="H41" i="17"/>
  <c r="H41" i="23" s="1"/>
  <c r="D42" i="17"/>
  <c r="D42" i="23" s="1"/>
  <c r="E42" i="17"/>
  <c r="E42" i="23" s="1"/>
  <c r="F42" i="17"/>
  <c r="F42" i="23" s="1"/>
  <c r="G42" i="17"/>
  <c r="G42" i="23" s="1"/>
  <c r="H42" i="17"/>
  <c r="H42" i="23" s="1"/>
  <c r="D43" i="17"/>
  <c r="D43" i="23" s="1"/>
  <c r="E43" i="17"/>
  <c r="E43" i="23" s="1"/>
  <c r="F43" i="17"/>
  <c r="F43" i="23" s="1"/>
  <c r="G43" i="17"/>
  <c r="G43" i="23" s="1"/>
  <c r="H43" i="17"/>
  <c r="H43" i="23" s="1"/>
  <c r="D44" i="17"/>
  <c r="D44" i="23" s="1"/>
  <c r="E44" i="17"/>
  <c r="E44" i="23" s="1"/>
  <c r="F44" i="17"/>
  <c r="F44" i="23" s="1"/>
  <c r="G44" i="17"/>
  <c r="G44" i="23" s="1"/>
  <c r="H44" i="17"/>
  <c r="H44" i="23" s="1"/>
  <c r="D45" i="17"/>
  <c r="D45" i="23" s="1"/>
  <c r="E45" i="17"/>
  <c r="E45" i="23" s="1"/>
  <c r="F45" i="17"/>
  <c r="F45" i="23" s="1"/>
  <c r="H45" i="17"/>
  <c r="H45" i="23" s="1"/>
  <c r="D46" i="17"/>
  <c r="D46" i="23" s="1"/>
  <c r="E46" i="17"/>
  <c r="E46" i="23" s="1"/>
  <c r="F46" i="17"/>
  <c r="F46" i="23" s="1"/>
  <c r="G46" i="17"/>
  <c r="G46" i="23" s="1"/>
  <c r="H46" i="17"/>
  <c r="H46" i="23" s="1"/>
  <c r="D47" i="17"/>
  <c r="D47" i="23" s="1"/>
  <c r="E47" i="17"/>
  <c r="E47" i="23" s="1"/>
  <c r="F47" i="17"/>
  <c r="F47" i="23" s="1"/>
  <c r="G47" i="17"/>
  <c r="G47" i="23" s="1"/>
  <c r="H47" i="17"/>
  <c r="H47" i="23" s="1"/>
  <c r="D48" i="17"/>
  <c r="D48" i="23" s="1"/>
  <c r="E48" i="17"/>
  <c r="E48" i="23" s="1"/>
  <c r="F48" i="17"/>
  <c r="F48" i="23" s="1"/>
  <c r="G48" i="17"/>
  <c r="G48" i="23" s="1"/>
  <c r="H48" i="17"/>
  <c r="H48" i="23" s="1"/>
  <c r="D49" i="17"/>
  <c r="D49" i="23" s="1"/>
  <c r="E49" i="17"/>
  <c r="E49" i="23" s="1"/>
  <c r="F49" i="17"/>
  <c r="F49" i="23" s="1"/>
  <c r="G49" i="17"/>
  <c r="G49" i="23" s="1"/>
  <c r="H49" i="17"/>
  <c r="H49" i="23" s="1"/>
  <c r="D50" i="17"/>
  <c r="D50" i="23" s="1"/>
  <c r="E50" i="17"/>
  <c r="E50" i="23" s="1"/>
  <c r="F50" i="17"/>
  <c r="F50" i="23" s="1"/>
  <c r="G50" i="17"/>
  <c r="G50" i="23" s="1"/>
  <c r="H50" i="17"/>
  <c r="H50" i="23" s="1"/>
  <c r="D51" i="17"/>
  <c r="D51" i="23" s="1"/>
  <c r="E51" i="17"/>
  <c r="E51" i="23" s="1"/>
  <c r="F51" i="17"/>
  <c r="F51" i="23" s="1"/>
  <c r="G51" i="17"/>
  <c r="G51" i="23" s="1"/>
  <c r="H51" i="17"/>
  <c r="H51" i="23" s="1"/>
  <c r="D52" i="17"/>
  <c r="D52" i="23" s="1"/>
  <c r="E52" i="17"/>
  <c r="E52" i="23" s="1"/>
  <c r="F52" i="17"/>
  <c r="F52" i="23" s="1"/>
  <c r="G52" i="17"/>
  <c r="G52" i="23" s="1"/>
  <c r="H52" i="17"/>
  <c r="H52" i="23" s="1"/>
  <c r="D53" i="17"/>
  <c r="D53" i="23" s="1"/>
  <c r="E53" i="17"/>
  <c r="E53" i="23" s="1"/>
  <c r="F53" i="17"/>
  <c r="F53" i="23" s="1"/>
  <c r="G53" i="17"/>
  <c r="G53" i="23" s="1"/>
  <c r="H53" i="17"/>
  <c r="H53" i="23" s="1"/>
  <c r="D54" i="17"/>
  <c r="D54" i="23" s="1"/>
  <c r="E54" i="17"/>
  <c r="E54" i="23" s="1"/>
  <c r="F54" i="17"/>
  <c r="F54" i="23" s="1"/>
  <c r="G54" i="17"/>
  <c r="G54" i="23" s="1"/>
  <c r="H54" i="17"/>
  <c r="H54" i="23" s="1"/>
  <c r="D55" i="17"/>
  <c r="E55" i="17"/>
  <c r="F55" i="17"/>
  <c r="G55" i="17"/>
  <c r="D56" i="17"/>
  <c r="E56" i="17"/>
  <c r="F56" i="17"/>
  <c r="G56" i="17"/>
  <c r="H56" i="17"/>
  <c r="H56" i="23" s="1"/>
  <c r="D57" i="17"/>
  <c r="E57" i="17"/>
  <c r="F57" i="17"/>
  <c r="G57" i="17"/>
  <c r="G58" i="23" s="1"/>
  <c r="H57" i="17"/>
  <c r="H57" i="23" s="1"/>
  <c r="D58" i="17"/>
  <c r="E58" i="17"/>
  <c r="F58" i="17"/>
  <c r="H58" i="17"/>
  <c r="D59" i="17"/>
  <c r="E59" i="17"/>
  <c r="F59" i="17"/>
  <c r="G59" i="17"/>
  <c r="H59" i="17"/>
  <c r="D60" i="17"/>
  <c r="E60" i="17"/>
  <c r="F60" i="17"/>
  <c r="G60" i="17"/>
  <c r="H60" i="17"/>
  <c r="D61" i="17"/>
  <c r="E61" i="17"/>
  <c r="F61" i="17"/>
  <c r="G61" i="17"/>
  <c r="H61" i="17"/>
  <c r="D62" i="17"/>
  <c r="E62" i="17"/>
  <c r="F62" i="17"/>
  <c r="G62" i="17"/>
  <c r="H62" i="17"/>
  <c r="D63" i="17"/>
  <c r="E63" i="17"/>
  <c r="F63" i="17"/>
  <c r="G63" i="17"/>
  <c r="H63" i="17"/>
  <c r="D64" i="17"/>
  <c r="E64" i="17"/>
  <c r="F64" i="17"/>
  <c r="G64" i="17"/>
  <c r="H64" i="17"/>
  <c r="D65" i="17"/>
  <c r="E65" i="17"/>
  <c r="F65" i="17"/>
  <c r="G65" i="17"/>
  <c r="H65" i="17"/>
  <c r="D66" i="17"/>
  <c r="E66" i="17"/>
  <c r="F66" i="17"/>
  <c r="G66" i="17"/>
  <c r="H66" i="17"/>
  <c r="D67" i="17"/>
  <c r="D68" i="23" s="1"/>
  <c r="E67" i="17"/>
  <c r="E68" i="23" s="1"/>
  <c r="F67" i="17"/>
  <c r="F68" i="23" s="1"/>
  <c r="G67" i="17"/>
  <c r="G68" i="23" s="1"/>
  <c r="H67" i="17"/>
  <c r="H68" i="23" s="1"/>
  <c r="E7" i="17"/>
  <c r="E7" i="23" s="1"/>
  <c r="F7" i="17"/>
  <c r="F7" i="23" s="1"/>
  <c r="H7" i="17"/>
  <c r="H7" i="23" s="1"/>
  <c r="M5" i="2"/>
  <c r="M56" i="2"/>
  <c r="M43" i="2"/>
  <c r="M17" i="2"/>
  <c r="M5" i="5"/>
  <c r="M21" i="5" s="1"/>
  <c r="B21" i="5"/>
  <c r="I7" i="5"/>
  <c r="I8" i="5"/>
  <c r="I6" i="5"/>
  <c r="I5" i="5"/>
  <c r="H6" i="5"/>
  <c r="H7" i="5"/>
  <c r="H8" i="5"/>
  <c r="H5" i="5"/>
  <c r="B5" i="5"/>
  <c r="B13" i="5" s="1"/>
  <c r="B6" i="5"/>
  <c r="B14" i="5" s="1"/>
  <c r="B7" i="5"/>
  <c r="B15" i="5" s="1"/>
  <c r="B8" i="5"/>
  <c r="B16" i="5" s="1"/>
  <c r="F57" i="23" l="1"/>
  <c r="E62" i="23"/>
  <c r="D66" i="23"/>
  <c r="E67" i="23"/>
  <c r="D57" i="23"/>
  <c r="E58" i="23"/>
  <c r="G61" i="23"/>
  <c r="F62" i="23"/>
  <c r="E63" i="23"/>
  <c r="G66" i="23"/>
  <c r="H66" i="23"/>
  <c r="G57" i="23"/>
  <c r="D62" i="23"/>
  <c r="F66" i="23"/>
  <c r="H62" i="23"/>
  <c r="E65" i="23"/>
  <c r="H60" i="23"/>
  <c r="E56" i="23"/>
  <c r="E55" i="23"/>
  <c r="E66" i="23"/>
  <c r="G65" i="23"/>
  <c r="F56" i="23"/>
  <c r="F55" i="23"/>
  <c r="H61" i="23"/>
  <c r="D65" i="23"/>
  <c r="F60" i="23"/>
  <c r="E64" i="23"/>
  <c r="H59" i="23"/>
  <c r="F65" i="23"/>
  <c r="H63" i="23"/>
  <c r="E59" i="23"/>
  <c r="E61" i="23"/>
  <c r="D61" i="23"/>
  <c r="G60" i="23"/>
  <c r="G59" i="23"/>
  <c r="D56" i="23"/>
  <c r="D55" i="23"/>
  <c r="F64" i="23"/>
  <c r="G63" i="23"/>
  <c r="D59" i="23"/>
  <c r="H64" i="23"/>
  <c r="E60" i="23"/>
  <c r="D60" i="23"/>
  <c r="D64" i="23"/>
  <c r="H67" i="23"/>
  <c r="F63" i="23"/>
  <c r="H58" i="23"/>
  <c r="F61" i="23"/>
  <c r="G56" i="23"/>
  <c r="G55" i="23"/>
  <c r="F59" i="23"/>
  <c r="G67" i="23"/>
  <c r="E57" i="23"/>
  <c r="H65" i="23"/>
  <c r="G64" i="23"/>
  <c r="F67" i="23"/>
  <c r="D63" i="23"/>
  <c r="F58" i="23"/>
  <c r="D67" i="23"/>
  <c r="G62" i="23"/>
  <c r="D58" i="23"/>
  <c r="G22" i="22"/>
  <c r="G42" i="21"/>
  <c r="G20" i="21"/>
  <c r="G7" i="22"/>
  <c r="G27" i="21"/>
  <c r="G5" i="21"/>
  <c r="G19" i="21"/>
  <c r="G28" i="22"/>
  <c r="G13" i="22"/>
  <c r="G33" i="21"/>
  <c r="G11" i="21"/>
  <c r="G25" i="21"/>
  <c r="G41" i="22"/>
  <c r="G39" i="21"/>
  <c r="G26" i="22"/>
  <c r="G24" i="21"/>
  <c r="G31" i="21"/>
  <c r="G40" i="22"/>
  <c r="G45" i="21"/>
  <c r="G30" i="21"/>
  <c r="G8" i="21"/>
  <c r="G39" i="22"/>
  <c r="G9" i="22"/>
  <c r="G14" i="21"/>
  <c r="G23" i="22"/>
  <c r="G8" i="22"/>
  <c r="G37" i="22"/>
  <c r="G29" i="22"/>
  <c r="G26" i="21"/>
  <c r="G19" i="22"/>
  <c r="G33" i="22"/>
  <c r="G38" i="21"/>
  <c r="G23" i="21"/>
  <c r="G17" i="22"/>
  <c r="G7" i="21"/>
  <c r="G36" i="22"/>
  <c r="G14" i="22"/>
  <c r="G34" i="21"/>
  <c r="G12" i="21"/>
  <c r="G43" i="22"/>
  <c r="G21" i="22"/>
  <c r="G41" i="21"/>
  <c r="G6" i="22"/>
  <c r="G35" i="22"/>
  <c r="G34" i="22"/>
  <c r="G32" i="21"/>
  <c r="G17" i="21"/>
  <c r="G46" i="21"/>
  <c r="G9" i="21"/>
  <c r="G16" i="21"/>
  <c r="G25" i="22"/>
  <c r="G32" i="22"/>
  <c r="G37" i="21"/>
  <c r="G24" i="22"/>
  <c r="G29" i="21"/>
  <c r="G38" i="22"/>
  <c r="G30" i="22"/>
  <c r="G6" i="21"/>
  <c r="G42" i="22"/>
  <c r="G20" i="22"/>
  <c r="G40" i="21"/>
  <c r="G18" i="21"/>
  <c r="G27" i="22"/>
  <c r="G5" i="22"/>
  <c r="G12" i="22"/>
  <c r="G10" i="21"/>
  <c r="G11" i="22"/>
  <c r="G18" i="22"/>
  <c r="G10" i="22"/>
  <c r="G15" i="21"/>
  <c r="G44" i="21"/>
  <c r="G22" i="21"/>
  <c r="G31" i="22"/>
  <c r="G36" i="21"/>
  <c r="G43" i="21"/>
  <c r="G15" i="22"/>
  <c r="G16" i="22"/>
  <c r="G21" i="21"/>
  <c r="G28" i="21"/>
  <c r="G35" i="21"/>
  <c r="G13" i="21"/>
  <c r="F33" i="22"/>
  <c r="F32" i="22"/>
  <c r="F18" i="22"/>
  <c r="F38" i="22"/>
  <c r="F27" i="22"/>
  <c r="F16" i="22"/>
  <c r="F5" i="22"/>
  <c r="F36" i="21"/>
  <c r="F25" i="21"/>
  <c r="F14" i="21"/>
  <c r="F43" i="22"/>
  <c r="F21" i="22"/>
  <c r="F10" i="22"/>
  <c r="F41" i="21"/>
  <c r="F30" i="21"/>
  <c r="F19" i="21"/>
  <c r="F8" i="21"/>
  <c r="F37" i="22"/>
  <c r="F26" i="22"/>
  <c r="F15" i="22"/>
  <c r="F46" i="21"/>
  <c r="F35" i="21"/>
  <c r="F24" i="21"/>
  <c r="F13" i="21"/>
  <c r="F42" i="22"/>
  <c r="F31" i="22"/>
  <c r="F20" i="22"/>
  <c r="F9" i="22"/>
  <c r="F40" i="21"/>
  <c r="F29" i="21"/>
  <c r="F18" i="21"/>
  <c r="F7" i="21"/>
  <c r="F14" i="22"/>
  <c r="F45" i="21"/>
  <c r="F34" i="21"/>
  <c r="F12" i="21"/>
  <c r="F41" i="22"/>
  <c r="F17" i="21"/>
  <c r="F24" i="22"/>
  <c r="F13" i="22"/>
  <c r="F44" i="21"/>
  <c r="F22" i="21"/>
  <c r="F11" i="21"/>
  <c r="F29" i="22"/>
  <c r="F38" i="21"/>
  <c r="F27" i="21"/>
  <c r="F5" i="21"/>
  <c r="F23" i="22"/>
  <c r="F12" i="22"/>
  <c r="F43" i="21"/>
  <c r="F21" i="21"/>
  <c r="F39" i="22"/>
  <c r="F17" i="22"/>
  <c r="F26" i="21"/>
  <c r="F11" i="22"/>
  <c r="F31" i="21"/>
  <c r="F9" i="21"/>
  <c r="F36" i="22"/>
  <c r="F25" i="22"/>
  <c r="F23" i="21"/>
  <c r="F30" i="22"/>
  <c r="F19" i="22"/>
  <c r="F8" i="22"/>
  <c r="F39" i="21"/>
  <c r="F28" i="21"/>
  <c r="F6" i="21"/>
  <c r="F35" i="22"/>
  <c r="F33" i="21"/>
  <c r="F40" i="22"/>
  <c r="F7" i="22"/>
  <c r="F16" i="21"/>
  <c r="F34" i="22"/>
  <c r="F32" i="21"/>
  <c r="F28" i="22"/>
  <c r="F15" i="21"/>
  <c r="F20" i="21"/>
  <c r="F10" i="21"/>
  <c r="F6" i="22"/>
  <c r="F42" i="21"/>
  <c r="F37" i="21"/>
  <c r="F22" i="22"/>
  <c r="E22" i="22"/>
  <c r="E42" i="21"/>
  <c r="E20" i="21"/>
  <c r="E24" i="21"/>
  <c r="E39" i="22"/>
  <c r="E30" i="22"/>
  <c r="E8" i="22"/>
  <c r="E43" i="22"/>
  <c r="E41" i="21"/>
  <c r="E34" i="22"/>
  <c r="E32" i="21"/>
  <c r="E10" i="21"/>
  <c r="E23" i="21"/>
  <c r="E38" i="22"/>
  <c r="E16" i="22"/>
  <c r="E36" i="21"/>
  <c r="E7" i="22"/>
  <c r="E5" i="21"/>
  <c r="E20" i="22"/>
  <c r="E33" i="22"/>
  <c r="E11" i="22"/>
  <c r="E31" i="21"/>
  <c r="E44" i="21"/>
  <c r="E15" i="22"/>
  <c r="E35" i="21"/>
  <c r="E6" i="22"/>
  <c r="E17" i="21"/>
  <c r="E10" i="22"/>
  <c r="E8" i="21"/>
  <c r="E23" i="22"/>
  <c r="E34" i="21"/>
  <c r="E27" i="22"/>
  <c r="E38" i="21"/>
  <c r="E7" i="21"/>
  <c r="E35" i="22"/>
  <c r="E13" i="22"/>
  <c r="E33" i="21"/>
  <c r="E11" i="21"/>
  <c r="E46" i="21"/>
  <c r="E17" i="22"/>
  <c r="E37" i="21"/>
  <c r="E15" i="21"/>
  <c r="E28" i="21"/>
  <c r="E6" i="21"/>
  <c r="E21" i="22"/>
  <c r="E12" i="22"/>
  <c r="E25" i="22"/>
  <c r="E45" i="21"/>
  <c r="E14" i="21"/>
  <c r="E29" i="22"/>
  <c r="E27" i="21"/>
  <c r="E40" i="21"/>
  <c r="E18" i="21"/>
  <c r="E9" i="21"/>
  <c r="E24" i="22"/>
  <c r="E22" i="21"/>
  <c r="E37" i="22"/>
  <c r="E13" i="21"/>
  <c r="E26" i="21"/>
  <c r="E39" i="21"/>
  <c r="E30" i="21"/>
  <c r="E21" i="21"/>
  <c r="E5" i="22"/>
  <c r="E18" i="22"/>
  <c r="E31" i="22"/>
  <c r="E26" i="22"/>
  <c r="E19" i="21"/>
  <c r="E42" i="22"/>
  <c r="E19" i="22"/>
  <c r="E43" i="21"/>
  <c r="E25" i="21"/>
  <c r="E41" i="22"/>
  <c r="E29" i="21"/>
  <c r="E14" i="22"/>
  <c r="E40" i="22"/>
  <c r="E16" i="21"/>
  <c r="E28" i="22"/>
  <c r="E32" i="22"/>
  <c r="E36" i="22"/>
  <c r="E12" i="21"/>
  <c r="E9" i="22"/>
  <c r="D16" i="22"/>
  <c r="D16" i="21"/>
  <c r="D43" i="22"/>
  <c r="D6" i="22"/>
  <c r="D26" i="21"/>
  <c r="D35" i="22"/>
  <c r="D24" i="22"/>
  <c r="D13" i="22"/>
  <c r="D44" i="21"/>
  <c r="D33" i="21"/>
  <c r="D22" i="21"/>
  <c r="D11" i="21"/>
  <c r="D31" i="22"/>
  <c r="D20" i="22"/>
  <c r="D9" i="22"/>
  <c r="D40" i="21"/>
  <c r="D18" i="21"/>
  <c r="H18" i="21" s="1"/>
  <c r="I18" i="21" s="1"/>
  <c r="T18" i="21" s="1"/>
  <c r="D7" i="21"/>
  <c r="D38" i="22"/>
  <c r="D36" i="21"/>
  <c r="D14" i="21"/>
  <c r="D28" i="22"/>
  <c r="D42" i="22"/>
  <c r="D29" i="21"/>
  <c r="D27" i="22"/>
  <c r="D5" i="22"/>
  <c r="D25" i="21"/>
  <c r="D34" i="22"/>
  <c r="D23" i="22"/>
  <c r="D12" i="22"/>
  <c r="D43" i="21"/>
  <c r="D32" i="21"/>
  <c r="D21" i="21"/>
  <c r="D10" i="21"/>
  <c r="D41" i="22"/>
  <c r="D30" i="22"/>
  <c r="D19" i="22"/>
  <c r="D8" i="22"/>
  <c r="D39" i="21"/>
  <c r="D28" i="21"/>
  <c r="D17" i="21"/>
  <c r="D37" i="22"/>
  <c r="D26" i="22"/>
  <c r="D15" i="22"/>
  <c r="D46" i="21"/>
  <c r="D35" i="21"/>
  <c r="D24" i="21"/>
  <c r="D13" i="21"/>
  <c r="D33" i="22"/>
  <c r="D22" i="22"/>
  <c r="D11" i="22"/>
  <c r="D42" i="21"/>
  <c r="D31" i="21"/>
  <c r="D20" i="21"/>
  <c r="D9" i="21"/>
  <c r="D29" i="22"/>
  <c r="H29" i="22" s="1"/>
  <c r="I29" i="22" s="1"/>
  <c r="A134" i="17" s="1"/>
  <c r="D18" i="22"/>
  <c r="D7" i="22"/>
  <c r="D38" i="21"/>
  <c r="D27" i="21"/>
  <c r="H27" i="21" s="1"/>
  <c r="I27" i="21" s="1"/>
  <c r="A85" i="24" s="1"/>
  <c r="D5" i="21"/>
  <c r="D36" i="22"/>
  <c r="D14" i="22"/>
  <c r="D45" i="21"/>
  <c r="D41" i="21"/>
  <c r="D30" i="21"/>
  <c r="D19" i="21"/>
  <c r="D17" i="22"/>
  <c r="D15" i="21"/>
  <c r="D6" i="21"/>
  <c r="D12" i="21"/>
  <c r="D8" i="21"/>
  <c r="D40" i="22"/>
  <c r="D25" i="22"/>
  <c r="D34" i="21"/>
  <c r="D23" i="21"/>
  <c r="D21" i="22"/>
  <c r="D39" i="22"/>
  <c r="D32" i="22"/>
  <c r="D37" i="21"/>
  <c r="D10" i="22"/>
  <c r="F17" i="2"/>
  <c r="F43" i="2"/>
  <c r="F5" i="2"/>
  <c r="I15" i="5"/>
  <c r="I14" i="5"/>
  <c r="I13" i="5"/>
  <c r="D43" i="2"/>
  <c r="D56" i="2"/>
  <c r="D5" i="2"/>
  <c r="D17" i="2"/>
  <c r="G5" i="2"/>
  <c r="G17" i="2"/>
  <c r="G43" i="2"/>
  <c r="G56" i="2"/>
  <c r="E43" i="2"/>
  <c r="F56" i="2"/>
  <c r="E56" i="2"/>
  <c r="E5" i="2"/>
  <c r="E17" i="2"/>
  <c r="M12" i="3"/>
  <c r="B18" i="5"/>
  <c r="H38" i="22" l="1"/>
  <c r="I38" i="22" s="1"/>
  <c r="A144" i="23" s="1"/>
  <c r="H17" i="21"/>
  <c r="I17" i="21" s="1"/>
  <c r="J17" i="21" s="1"/>
  <c r="H8" i="21"/>
  <c r="I8" i="21" s="1"/>
  <c r="T8" i="21" s="1"/>
  <c r="H8" i="22"/>
  <c r="I8" i="22" s="1"/>
  <c r="A114" i="23" s="1"/>
  <c r="H19" i="22"/>
  <c r="I19" i="22" s="1"/>
  <c r="A125" i="23" s="1"/>
  <c r="H5" i="21"/>
  <c r="I5" i="21" s="1"/>
  <c r="T5" i="21" s="1"/>
  <c r="H18" i="22"/>
  <c r="I18" i="22" s="1"/>
  <c r="T18" i="22" s="1"/>
  <c r="H31" i="22"/>
  <c r="I31" i="22" s="1"/>
  <c r="P31" i="22" s="1"/>
  <c r="H40" i="22"/>
  <c r="I40" i="22" s="1"/>
  <c r="T40" i="22" s="1"/>
  <c r="H5" i="22"/>
  <c r="I5" i="22" s="1"/>
  <c r="T5" i="22" s="1"/>
  <c r="H11" i="22"/>
  <c r="I11" i="22" s="1"/>
  <c r="V11" i="22" s="1"/>
  <c r="U11" i="22" s="1"/>
  <c r="H27" i="22"/>
  <c r="I27" i="22" s="1"/>
  <c r="P27" i="22" s="1"/>
  <c r="B127" i="24" s="1"/>
  <c r="H20" i="22"/>
  <c r="I20" i="22" s="1"/>
  <c r="A120" i="24" s="1"/>
  <c r="H41" i="22"/>
  <c r="I41" i="22" s="1"/>
  <c r="J41" i="22" s="1"/>
  <c r="H7" i="21"/>
  <c r="I7" i="21" s="1"/>
  <c r="V7" i="21" s="1"/>
  <c r="U7" i="21" s="1"/>
  <c r="H40" i="21"/>
  <c r="I40" i="21" s="1"/>
  <c r="A104" i="23" s="1"/>
  <c r="H21" i="21"/>
  <c r="I21" i="21" s="1"/>
  <c r="P21" i="21" s="1"/>
  <c r="H22" i="22"/>
  <c r="I22" i="22" s="1"/>
  <c r="A128" i="23" s="1"/>
  <c r="H34" i="22"/>
  <c r="I34" i="22" s="1"/>
  <c r="A139" i="17" s="1"/>
  <c r="P29" i="22"/>
  <c r="B134" i="17" s="1"/>
  <c r="C134" i="17" s="1"/>
  <c r="H33" i="22"/>
  <c r="I33" i="22" s="1"/>
  <c r="T33" i="22" s="1"/>
  <c r="H14" i="22"/>
  <c r="I14" i="22" s="1"/>
  <c r="A119" i="17" s="1"/>
  <c r="H28" i="21"/>
  <c r="I28" i="21" s="1"/>
  <c r="A92" i="23" s="1"/>
  <c r="H38" i="21"/>
  <c r="I38" i="21" s="1"/>
  <c r="A96" i="24" s="1"/>
  <c r="H24" i="22"/>
  <c r="I24" i="22" s="1"/>
  <c r="P24" i="22" s="1"/>
  <c r="B129" i="17" s="1"/>
  <c r="H6" i="21"/>
  <c r="I6" i="21" s="1"/>
  <c r="P6" i="21" s="1"/>
  <c r="B69" i="17" s="1"/>
  <c r="H23" i="22"/>
  <c r="I23" i="22" s="1"/>
  <c r="J23" i="22" s="1"/>
  <c r="H36" i="22"/>
  <c r="I36" i="22" s="1"/>
  <c r="A136" i="24" s="1"/>
  <c r="J27" i="21"/>
  <c r="H10" i="22"/>
  <c r="I10" i="22" s="1"/>
  <c r="P10" i="22" s="1"/>
  <c r="B110" i="24" s="1"/>
  <c r="H37" i="21"/>
  <c r="I37" i="21" s="1"/>
  <c r="V37" i="21" s="1"/>
  <c r="U37" i="21" s="1"/>
  <c r="H9" i="21"/>
  <c r="I9" i="21" s="1"/>
  <c r="P9" i="21" s="1"/>
  <c r="B73" i="23" s="1"/>
  <c r="H30" i="22"/>
  <c r="I30" i="22" s="1"/>
  <c r="T30" i="22" s="1"/>
  <c r="H15" i="21"/>
  <c r="I15" i="21" s="1"/>
  <c r="H43" i="22"/>
  <c r="I43" i="22" s="1"/>
  <c r="A143" i="24" s="1"/>
  <c r="H17" i="22"/>
  <c r="I17" i="22" s="1"/>
  <c r="V17" i="22" s="1"/>
  <c r="U17" i="22" s="1"/>
  <c r="H29" i="21"/>
  <c r="I29" i="21" s="1"/>
  <c r="H39" i="21"/>
  <c r="I39" i="21" s="1"/>
  <c r="A97" i="24" s="1"/>
  <c r="J18" i="21"/>
  <c r="A76" i="24"/>
  <c r="A90" i="17"/>
  <c r="V27" i="21"/>
  <c r="U27" i="21" s="1"/>
  <c r="A91" i="23"/>
  <c r="P27" i="21"/>
  <c r="B85" i="24" s="1"/>
  <c r="H9" i="22"/>
  <c r="I9" i="22" s="1"/>
  <c r="T27" i="21"/>
  <c r="H32" i="22"/>
  <c r="I32" i="22" s="1"/>
  <c r="A132" i="24" s="1"/>
  <c r="H10" i="21"/>
  <c r="I10" i="21" s="1"/>
  <c r="A73" i="17" s="1"/>
  <c r="H11" i="21"/>
  <c r="I11" i="21" s="1"/>
  <c r="H7" i="22"/>
  <c r="I7" i="22" s="1"/>
  <c r="A113" i="23" s="1"/>
  <c r="T29" i="22"/>
  <c r="H21" i="22"/>
  <c r="I21" i="22" s="1"/>
  <c r="H22" i="21"/>
  <c r="I22" i="21" s="1"/>
  <c r="H20" i="21"/>
  <c r="I20" i="21" s="1"/>
  <c r="A83" i="17" s="1"/>
  <c r="H33" i="21"/>
  <c r="I33" i="21" s="1"/>
  <c r="A91" i="24" s="1"/>
  <c r="H34" i="21"/>
  <c r="I34" i="21" s="1"/>
  <c r="P34" i="21" s="1"/>
  <c r="H31" i="21"/>
  <c r="I31" i="21" s="1"/>
  <c r="V31" i="21" s="1"/>
  <c r="U31" i="21" s="1"/>
  <c r="H43" i="21"/>
  <c r="I43" i="21" s="1"/>
  <c r="P43" i="21" s="1"/>
  <c r="B106" i="17" s="1"/>
  <c r="H44" i="21"/>
  <c r="I44" i="21" s="1"/>
  <c r="A107" i="17" s="1"/>
  <c r="J29" i="22"/>
  <c r="H39" i="22"/>
  <c r="I39" i="22" s="1"/>
  <c r="V29" i="22"/>
  <c r="U29" i="22" s="1"/>
  <c r="H23" i="21"/>
  <c r="I23" i="21" s="1"/>
  <c r="H32" i="21"/>
  <c r="I32" i="21" s="1"/>
  <c r="A96" i="23" s="1"/>
  <c r="H25" i="22"/>
  <c r="I25" i="22" s="1"/>
  <c r="H42" i="21"/>
  <c r="I42" i="21" s="1"/>
  <c r="H12" i="22"/>
  <c r="I12" i="22" s="1"/>
  <c r="H13" i="22"/>
  <c r="I13" i="22" s="1"/>
  <c r="H16" i="21"/>
  <c r="I16" i="21" s="1"/>
  <c r="H35" i="21"/>
  <c r="I35" i="21" s="1"/>
  <c r="H19" i="21"/>
  <c r="I19" i="21" s="1"/>
  <c r="A77" i="24" s="1"/>
  <c r="H46" i="21"/>
  <c r="I46" i="21" s="1"/>
  <c r="H42" i="22"/>
  <c r="I42" i="22" s="1"/>
  <c r="H16" i="22"/>
  <c r="I16" i="22" s="1"/>
  <c r="H12" i="21"/>
  <c r="I12" i="21" s="1"/>
  <c r="V12" i="21" s="1"/>
  <c r="U12" i="21" s="1"/>
  <c r="H24" i="21"/>
  <c r="I24" i="21" s="1"/>
  <c r="H30" i="21"/>
  <c r="I30" i="21" s="1"/>
  <c r="H28" i="22"/>
  <c r="I28" i="22" s="1"/>
  <c r="H25" i="21"/>
  <c r="I25" i="21" s="1"/>
  <c r="H35" i="22"/>
  <c r="I35" i="22" s="1"/>
  <c r="H26" i="21"/>
  <c r="I26" i="21" s="1"/>
  <c r="H13" i="21"/>
  <c r="I13" i="21" s="1"/>
  <c r="H6" i="22"/>
  <c r="I6" i="22" s="1"/>
  <c r="H15" i="22"/>
  <c r="I15" i="22" s="1"/>
  <c r="P15" i="22" s="1"/>
  <c r="B120" i="17" s="1"/>
  <c r="A135" i="23"/>
  <c r="H41" i="21"/>
  <c r="I41" i="21" s="1"/>
  <c r="V41" i="21" s="1"/>
  <c r="U41" i="21" s="1"/>
  <c r="H26" i="22"/>
  <c r="I26" i="22" s="1"/>
  <c r="H14" i="21"/>
  <c r="I14" i="21" s="1"/>
  <c r="A129" i="24"/>
  <c r="H45" i="21"/>
  <c r="I45" i="21" s="1"/>
  <c r="A108" i="17" s="1"/>
  <c r="H37" i="22"/>
  <c r="I37" i="22" s="1"/>
  <c r="H36" i="21"/>
  <c r="I36" i="21" s="1"/>
  <c r="P18" i="21"/>
  <c r="B76" i="24" s="1"/>
  <c r="V18" i="21"/>
  <c r="U18" i="21" s="1"/>
  <c r="A75" i="24"/>
  <c r="P17" i="21"/>
  <c r="B80" i="17" s="1"/>
  <c r="A81" i="17"/>
  <c r="P38" i="22"/>
  <c r="B138" i="24" s="1"/>
  <c r="A82" i="23"/>
  <c r="V38" i="22"/>
  <c r="U38" i="22" s="1"/>
  <c r="H5" i="2"/>
  <c r="H43" i="2"/>
  <c r="I43" i="2" s="1"/>
  <c r="H56" i="2"/>
  <c r="I56" i="2" s="1"/>
  <c r="H17" i="2"/>
  <c r="I17" i="2" s="1"/>
  <c r="I16" i="5"/>
  <c r="M6" i="2"/>
  <c r="M7" i="2"/>
  <c r="M8" i="2"/>
  <c r="M9" i="2"/>
  <c r="M10" i="2"/>
  <c r="M11" i="2"/>
  <c r="M12" i="2"/>
  <c r="M13" i="2"/>
  <c r="M14" i="2"/>
  <c r="M15" i="2"/>
  <c r="M16" i="2"/>
  <c r="M18" i="2"/>
  <c r="M19" i="2"/>
  <c r="M20" i="2"/>
  <c r="M21" i="2"/>
  <c r="M22" i="2"/>
  <c r="M23" i="2"/>
  <c r="M24" i="2"/>
  <c r="M25" i="2"/>
  <c r="M26" i="2"/>
  <c r="M27" i="2"/>
  <c r="M28" i="2"/>
  <c r="M29" i="2"/>
  <c r="M30" i="2"/>
  <c r="M31" i="2"/>
  <c r="M32" i="2"/>
  <c r="M33" i="2"/>
  <c r="M34" i="2"/>
  <c r="M35" i="2"/>
  <c r="M36" i="2"/>
  <c r="M37" i="2"/>
  <c r="M38" i="2"/>
  <c r="M39" i="2"/>
  <c r="M40" i="2"/>
  <c r="M41" i="2"/>
  <c r="M42" i="2"/>
  <c r="M44" i="2"/>
  <c r="M45" i="2"/>
  <c r="M46" i="2"/>
  <c r="M47" i="2"/>
  <c r="M48" i="2"/>
  <c r="M49" i="2"/>
  <c r="M50" i="2"/>
  <c r="M51" i="2"/>
  <c r="M52" i="2"/>
  <c r="M53" i="2"/>
  <c r="M54" i="2"/>
  <c r="M55" i="2"/>
  <c r="M57" i="2"/>
  <c r="M58" i="2"/>
  <c r="M59" i="2"/>
  <c r="M60" i="2"/>
  <c r="M61" i="2"/>
  <c r="M62" i="2"/>
  <c r="M63" i="2"/>
  <c r="M64" i="2"/>
  <c r="M65" i="2"/>
  <c r="A143" i="17" l="1"/>
  <c r="A66" i="24"/>
  <c r="A81" i="23"/>
  <c r="T17" i="21"/>
  <c r="V17" i="21"/>
  <c r="U17" i="21" s="1"/>
  <c r="A80" i="17"/>
  <c r="C80" i="17" s="1"/>
  <c r="A76" i="15"/>
  <c r="A72" i="23"/>
  <c r="P8" i="22"/>
  <c r="B113" i="17" s="1"/>
  <c r="V31" i="22"/>
  <c r="U31" i="22" s="1"/>
  <c r="A138" i="24"/>
  <c r="A77" i="15"/>
  <c r="A97" i="15"/>
  <c r="V8" i="21"/>
  <c r="U8" i="21" s="1"/>
  <c r="A71" i="17"/>
  <c r="A146" i="23"/>
  <c r="T31" i="22"/>
  <c r="V8" i="22"/>
  <c r="U8" i="22" s="1"/>
  <c r="P8" i="21"/>
  <c r="B71" i="17" s="1"/>
  <c r="J8" i="22"/>
  <c r="T8" i="22"/>
  <c r="A113" i="17"/>
  <c r="A108" i="24"/>
  <c r="A118" i="24"/>
  <c r="J5" i="22"/>
  <c r="P14" i="22"/>
  <c r="B114" i="24" s="1"/>
  <c r="J20" i="22"/>
  <c r="J38" i="22"/>
  <c r="T38" i="22"/>
  <c r="P20" i="22"/>
  <c r="B125" i="17" s="1"/>
  <c r="A145" i="17"/>
  <c r="A111" i="23"/>
  <c r="A110" i="17"/>
  <c r="J31" i="22"/>
  <c r="A147" i="23"/>
  <c r="A140" i="24"/>
  <c r="A126" i="23"/>
  <c r="A137" i="23"/>
  <c r="A105" i="24"/>
  <c r="J8" i="21"/>
  <c r="V40" i="22"/>
  <c r="U40" i="22" s="1"/>
  <c r="A111" i="24"/>
  <c r="P40" i="21"/>
  <c r="B103" i="17" s="1"/>
  <c r="A141" i="24"/>
  <c r="A70" i="17"/>
  <c r="T7" i="21"/>
  <c r="J7" i="21"/>
  <c r="A71" i="23"/>
  <c r="P7" i="21"/>
  <c r="B71" i="23" s="1"/>
  <c r="A135" i="17"/>
  <c r="P31" i="21"/>
  <c r="B94" i="17" s="1"/>
  <c r="A138" i="17"/>
  <c r="A119" i="24"/>
  <c r="A120" i="15" s="1"/>
  <c r="A123" i="17"/>
  <c r="A128" i="17"/>
  <c r="A116" i="17"/>
  <c r="A146" i="17"/>
  <c r="V18" i="22"/>
  <c r="U18" i="22" s="1"/>
  <c r="T19" i="22"/>
  <c r="B132" i="17"/>
  <c r="V5" i="21"/>
  <c r="U5" i="21" s="1"/>
  <c r="P18" i="22"/>
  <c r="B123" i="17" s="1"/>
  <c r="V33" i="22"/>
  <c r="U33" i="22" s="1"/>
  <c r="P41" i="22"/>
  <c r="B146" i="17" s="1"/>
  <c r="A124" i="17"/>
  <c r="A97" i="17"/>
  <c r="A124" i="23"/>
  <c r="J19" i="22"/>
  <c r="P5" i="21"/>
  <c r="B63" i="24" s="1"/>
  <c r="J18" i="22"/>
  <c r="V19" i="22"/>
  <c r="U19" i="22" s="1"/>
  <c r="P40" i="22"/>
  <c r="P19" i="22"/>
  <c r="A63" i="24"/>
  <c r="J5" i="21"/>
  <c r="J11" i="22"/>
  <c r="A103" i="17"/>
  <c r="V21" i="21"/>
  <c r="U21" i="21" s="1"/>
  <c r="T11" i="22"/>
  <c r="V40" i="21"/>
  <c r="U40" i="21" s="1"/>
  <c r="P11" i="22"/>
  <c r="B116" i="17" s="1"/>
  <c r="A117" i="23"/>
  <c r="A98" i="24"/>
  <c r="J21" i="21"/>
  <c r="A125" i="17"/>
  <c r="A130" i="24"/>
  <c r="A130" i="15" s="1"/>
  <c r="A133" i="24"/>
  <c r="A133" i="15" s="1"/>
  <c r="A139" i="23"/>
  <c r="A65" i="24"/>
  <c r="T27" i="22"/>
  <c r="J27" i="22"/>
  <c r="A132" i="17"/>
  <c r="A133" i="23"/>
  <c r="A127" i="24"/>
  <c r="V27" i="22"/>
  <c r="U27" i="22" s="1"/>
  <c r="J40" i="22"/>
  <c r="J30" i="22"/>
  <c r="A70" i="23"/>
  <c r="T28" i="21"/>
  <c r="P5" i="22"/>
  <c r="V5" i="22"/>
  <c r="U5" i="22" s="1"/>
  <c r="A131" i="24"/>
  <c r="A132" i="15" s="1"/>
  <c r="A136" i="17"/>
  <c r="V20" i="22"/>
  <c r="U20" i="22" s="1"/>
  <c r="A122" i="24"/>
  <c r="T40" i="21"/>
  <c r="J40" i="21"/>
  <c r="V28" i="21"/>
  <c r="U28" i="21" s="1"/>
  <c r="V22" i="22"/>
  <c r="U22" i="22" s="1"/>
  <c r="T6" i="21"/>
  <c r="A123" i="24"/>
  <c r="T23" i="22"/>
  <c r="J6" i="21"/>
  <c r="A129" i="23"/>
  <c r="T36" i="22"/>
  <c r="J31" i="21"/>
  <c r="A127" i="17"/>
  <c r="J28" i="21"/>
  <c r="P28" i="21"/>
  <c r="B86" i="24" s="1"/>
  <c r="B86" i="15" s="1"/>
  <c r="A130" i="23"/>
  <c r="A86" i="24"/>
  <c r="A84" i="17"/>
  <c r="A91" i="17"/>
  <c r="V24" i="22"/>
  <c r="U24" i="22" s="1"/>
  <c r="A101" i="17"/>
  <c r="V36" i="22"/>
  <c r="U36" i="22" s="1"/>
  <c r="J37" i="21"/>
  <c r="J38" i="21"/>
  <c r="T24" i="22"/>
  <c r="V41" i="22"/>
  <c r="U41" i="22" s="1"/>
  <c r="V38" i="21"/>
  <c r="U38" i="21" s="1"/>
  <c r="J24" i="22"/>
  <c r="T38" i="21"/>
  <c r="V23" i="22"/>
  <c r="U23" i="22" s="1"/>
  <c r="P38" i="21"/>
  <c r="B96" i="24" s="1"/>
  <c r="A102" i="23"/>
  <c r="T14" i="22"/>
  <c r="P23" i="22"/>
  <c r="B129" i="23" s="1"/>
  <c r="T41" i="22"/>
  <c r="V14" i="22"/>
  <c r="U14" i="22" s="1"/>
  <c r="A142" i="23"/>
  <c r="A141" i="17"/>
  <c r="B133" i="23"/>
  <c r="B85" i="23"/>
  <c r="B79" i="24"/>
  <c r="B84" i="17"/>
  <c r="B116" i="23"/>
  <c r="P37" i="21"/>
  <c r="B100" i="17" s="1"/>
  <c r="B101" i="24"/>
  <c r="B115" i="17"/>
  <c r="T21" i="21"/>
  <c r="B107" i="23"/>
  <c r="A134" i="24"/>
  <c r="J36" i="22"/>
  <c r="J14" i="22"/>
  <c r="A101" i="23"/>
  <c r="A64" i="24"/>
  <c r="V6" i="21"/>
  <c r="U6" i="21" s="1"/>
  <c r="A68" i="17"/>
  <c r="A110" i="24"/>
  <c r="A129" i="17"/>
  <c r="C129" i="17" s="1"/>
  <c r="A124" i="24"/>
  <c r="B70" i="23"/>
  <c r="A69" i="23"/>
  <c r="A120" i="23"/>
  <c r="J34" i="22"/>
  <c r="V34" i="22"/>
  <c r="U34" i="22" s="1"/>
  <c r="B64" i="24"/>
  <c r="P33" i="22"/>
  <c r="B138" i="17" s="1"/>
  <c r="A69" i="17"/>
  <c r="A114" i="24"/>
  <c r="B69" i="23"/>
  <c r="P36" i="22"/>
  <c r="B141" i="17" s="1"/>
  <c r="V33" i="21"/>
  <c r="U33" i="21" s="1"/>
  <c r="P22" i="22"/>
  <c r="B128" i="23" s="1"/>
  <c r="C128" i="23" s="1"/>
  <c r="A95" i="24"/>
  <c r="A96" i="15" s="1"/>
  <c r="A100" i="17"/>
  <c r="T37" i="21"/>
  <c r="A116" i="23"/>
  <c r="B135" i="23"/>
  <c r="C135" i="23" s="1"/>
  <c r="J33" i="22"/>
  <c r="T22" i="22"/>
  <c r="T10" i="22"/>
  <c r="P34" i="22"/>
  <c r="T34" i="22"/>
  <c r="A140" i="23"/>
  <c r="A115" i="17"/>
  <c r="A79" i="24"/>
  <c r="A85" i="23"/>
  <c r="J22" i="22"/>
  <c r="J10" i="22"/>
  <c r="T20" i="22"/>
  <c r="B129" i="24"/>
  <c r="V10" i="22"/>
  <c r="U10" i="22" s="1"/>
  <c r="A92" i="17"/>
  <c r="V29" i="21"/>
  <c r="U29" i="21" s="1"/>
  <c r="J29" i="21"/>
  <c r="P29" i="21"/>
  <c r="A87" i="24"/>
  <c r="T29" i="21"/>
  <c r="A123" i="23"/>
  <c r="A122" i="17"/>
  <c r="A117" i="24"/>
  <c r="P17" i="22"/>
  <c r="T17" i="22"/>
  <c r="J32" i="21"/>
  <c r="J15" i="22"/>
  <c r="A148" i="17"/>
  <c r="V43" i="22"/>
  <c r="U43" i="22" s="1"/>
  <c r="T43" i="22"/>
  <c r="P43" i="22"/>
  <c r="J43" i="22"/>
  <c r="V15" i="21"/>
  <c r="U15" i="21" s="1"/>
  <c r="A73" i="24"/>
  <c r="T15" i="21"/>
  <c r="J15" i="21"/>
  <c r="P15" i="21"/>
  <c r="A79" i="23"/>
  <c r="A78" i="17"/>
  <c r="A89" i="24"/>
  <c r="B124" i="24"/>
  <c r="A136" i="23"/>
  <c r="V30" i="22"/>
  <c r="U30" i="22" s="1"/>
  <c r="P30" i="22"/>
  <c r="B90" i="17"/>
  <c r="C90" i="17" s="1"/>
  <c r="J17" i="22"/>
  <c r="A73" i="23"/>
  <c r="C73" i="23" s="1"/>
  <c r="V9" i="21"/>
  <c r="U9" i="21" s="1"/>
  <c r="A67" i="24"/>
  <c r="J9" i="21"/>
  <c r="A72" i="17"/>
  <c r="B121" i="23"/>
  <c r="B91" i="23"/>
  <c r="C91" i="23" s="1"/>
  <c r="B115" i="24"/>
  <c r="A93" i="23"/>
  <c r="T15" i="22"/>
  <c r="T9" i="21"/>
  <c r="A86" i="23"/>
  <c r="A85" i="17"/>
  <c r="A80" i="24"/>
  <c r="T22" i="21"/>
  <c r="J22" i="21"/>
  <c r="V22" i="21"/>
  <c r="U22" i="21" s="1"/>
  <c r="P22" i="21"/>
  <c r="B130" i="23"/>
  <c r="P25" i="21"/>
  <c r="J25" i="21"/>
  <c r="T25" i="21"/>
  <c r="A88" i="17"/>
  <c r="V25" i="21"/>
  <c r="U25" i="21" s="1"/>
  <c r="A89" i="23"/>
  <c r="A83" i="24"/>
  <c r="V12" i="22"/>
  <c r="U12" i="22" s="1"/>
  <c r="A117" i="17"/>
  <c r="J12" i="22"/>
  <c r="T12" i="22"/>
  <c r="A118" i="23"/>
  <c r="A112" i="24"/>
  <c r="P12" i="22"/>
  <c r="A105" i="17"/>
  <c r="V42" i="21"/>
  <c r="U42" i="21" s="1"/>
  <c r="T42" i="21"/>
  <c r="J42" i="21"/>
  <c r="P42" i="21"/>
  <c r="A106" i="23"/>
  <c r="A100" i="24"/>
  <c r="T14" i="21"/>
  <c r="A78" i="23"/>
  <c r="J14" i="21"/>
  <c r="V14" i="21"/>
  <c r="U14" i="21" s="1"/>
  <c r="A77" i="17"/>
  <c r="P14" i="21"/>
  <c r="P26" i="22"/>
  <c r="A126" i="24"/>
  <c r="V26" i="22"/>
  <c r="U26" i="22" s="1"/>
  <c r="T26" i="22"/>
  <c r="J26" i="22"/>
  <c r="A132" i="23"/>
  <c r="A104" i="17"/>
  <c r="J41" i="21"/>
  <c r="P41" i="21"/>
  <c r="A105" i="23"/>
  <c r="A99" i="24"/>
  <c r="T13" i="22"/>
  <c r="A119" i="23"/>
  <c r="A113" i="24"/>
  <c r="A130" i="17"/>
  <c r="A125" i="24"/>
  <c r="A131" i="23"/>
  <c r="V25" i="22"/>
  <c r="U25" i="22" s="1"/>
  <c r="P25" i="22"/>
  <c r="J25" i="22"/>
  <c r="T25" i="22"/>
  <c r="A128" i="24"/>
  <c r="A129" i="15" s="1"/>
  <c r="T28" i="22"/>
  <c r="V28" i="22"/>
  <c r="U28" i="22" s="1"/>
  <c r="A133" i="17"/>
  <c r="A134" i="23"/>
  <c r="P28" i="22"/>
  <c r="J28" i="22"/>
  <c r="A94" i="23"/>
  <c r="A93" i="17"/>
  <c r="A88" i="24"/>
  <c r="J30" i="21"/>
  <c r="V30" i="21"/>
  <c r="U30" i="21" s="1"/>
  <c r="T30" i="21"/>
  <c r="P30" i="21"/>
  <c r="A72" i="24"/>
  <c r="T41" i="21"/>
  <c r="V13" i="22"/>
  <c r="U13" i="22" s="1"/>
  <c r="A118" i="17"/>
  <c r="A127" i="23"/>
  <c r="A121" i="24"/>
  <c r="P21" i="22"/>
  <c r="A126" i="17"/>
  <c r="V21" i="22"/>
  <c r="U21" i="22" s="1"/>
  <c r="T21" i="22"/>
  <c r="J21" i="22"/>
  <c r="J13" i="22"/>
  <c r="B136" i="17"/>
  <c r="B131" i="24"/>
  <c r="B137" i="23"/>
  <c r="B98" i="23"/>
  <c r="B92" i="24"/>
  <c r="A131" i="17"/>
  <c r="B143" i="17"/>
  <c r="C143" i="17" s="1"/>
  <c r="B144" i="23"/>
  <c r="C144" i="23" s="1"/>
  <c r="P13" i="22"/>
  <c r="B119" i="23" s="1"/>
  <c r="A95" i="17"/>
  <c r="A90" i="24"/>
  <c r="A91" i="15" s="1"/>
  <c r="P32" i="21"/>
  <c r="T32" i="21"/>
  <c r="V11" i="21"/>
  <c r="U11" i="21" s="1"/>
  <c r="A75" i="23"/>
  <c r="T11" i="21"/>
  <c r="A69" i="24"/>
  <c r="A74" i="17"/>
  <c r="J11" i="21"/>
  <c r="P11" i="21"/>
  <c r="P10" i="21"/>
  <c r="J10" i="21"/>
  <c r="T10" i="21"/>
  <c r="V10" i="21"/>
  <c r="U10" i="21" s="1"/>
  <c r="A74" i="23"/>
  <c r="A68" i="24"/>
  <c r="V7" i="22"/>
  <c r="U7" i="22" s="1"/>
  <c r="A137" i="17"/>
  <c r="V32" i="22"/>
  <c r="U32" i="22" s="1"/>
  <c r="T32" i="22"/>
  <c r="A138" i="23"/>
  <c r="P32" i="22"/>
  <c r="J32" i="22"/>
  <c r="J42" i="22"/>
  <c r="P42" i="22"/>
  <c r="V42" i="22"/>
  <c r="U42" i="22" s="1"/>
  <c r="T42" i="22"/>
  <c r="A147" i="17"/>
  <c r="A142" i="24"/>
  <c r="A143" i="15" s="1"/>
  <c r="A148" i="23"/>
  <c r="A104" i="24"/>
  <c r="T46" i="21"/>
  <c r="J46" i="21"/>
  <c r="P46" i="21"/>
  <c r="A110" i="23"/>
  <c r="A109" i="17"/>
  <c r="V46" i="21"/>
  <c r="U46" i="21" s="1"/>
  <c r="V15" i="22"/>
  <c r="U15" i="22" s="1"/>
  <c r="A82" i="17"/>
  <c r="P19" i="21"/>
  <c r="A83" i="23"/>
  <c r="J19" i="21"/>
  <c r="V19" i="21"/>
  <c r="U19" i="21" s="1"/>
  <c r="T19" i="21"/>
  <c r="V32" i="21"/>
  <c r="U32" i="21" s="1"/>
  <c r="P44" i="21"/>
  <c r="V44" i="21"/>
  <c r="U44" i="21" s="1"/>
  <c r="A102" i="24"/>
  <c r="T44" i="21"/>
  <c r="J44" i="21"/>
  <c r="A109" i="23"/>
  <c r="T45" i="21"/>
  <c r="P45" i="21"/>
  <c r="A103" i="24"/>
  <c r="V45" i="21"/>
  <c r="U45" i="21" s="1"/>
  <c r="J45" i="21"/>
  <c r="T31" i="21"/>
  <c r="A95" i="23"/>
  <c r="A94" i="17"/>
  <c r="A115" i="23"/>
  <c r="V9" i="22"/>
  <c r="U9" i="22" s="1"/>
  <c r="P9" i="22"/>
  <c r="A114" i="17"/>
  <c r="A109" i="24"/>
  <c r="T9" i="22"/>
  <c r="J9" i="22"/>
  <c r="B67" i="24"/>
  <c r="A108" i="23"/>
  <c r="A71" i="24"/>
  <c r="A76" i="17"/>
  <c r="A77" i="23"/>
  <c r="P13" i="21"/>
  <c r="V13" i="21"/>
  <c r="U13" i="21" s="1"/>
  <c r="T13" i="21"/>
  <c r="J13" i="21"/>
  <c r="A93" i="24"/>
  <c r="J35" i="21"/>
  <c r="V35" i="21"/>
  <c r="U35" i="21" s="1"/>
  <c r="P35" i="21"/>
  <c r="A99" i="23"/>
  <c r="A98" i="17"/>
  <c r="T35" i="21"/>
  <c r="V34" i="21"/>
  <c r="U34" i="21" s="1"/>
  <c r="A98" i="23"/>
  <c r="J34" i="21"/>
  <c r="T34" i="21"/>
  <c r="A92" i="24"/>
  <c r="B72" i="17"/>
  <c r="A84" i="24"/>
  <c r="A85" i="15" s="1"/>
  <c r="J26" i="21"/>
  <c r="A89" i="17"/>
  <c r="A90" i="23"/>
  <c r="V26" i="21"/>
  <c r="U26" i="21" s="1"/>
  <c r="T26" i="21"/>
  <c r="P26" i="21"/>
  <c r="T16" i="22"/>
  <c r="J16" i="22"/>
  <c r="A116" i="24"/>
  <c r="A122" i="23"/>
  <c r="V16" i="22"/>
  <c r="U16" i="22" s="1"/>
  <c r="A121" i="17"/>
  <c r="P16" i="22"/>
  <c r="T35" i="22"/>
  <c r="V35" i="22"/>
  <c r="U35" i="22" s="1"/>
  <c r="P35" i="22"/>
  <c r="A140" i="17"/>
  <c r="J35" i="22"/>
  <c r="A135" i="24"/>
  <c r="A136" i="15" s="1"/>
  <c r="A141" i="23"/>
  <c r="T33" i="21"/>
  <c r="P33" i="21"/>
  <c r="J33" i="21"/>
  <c r="A97" i="23"/>
  <c r="A96" i="17"/>
  <c r="A82" i="24"/>
  <c r="A88" i="23"/>
  <c r="T24" i="21"/>
  <c r="V24" i="21"/>
  <c r="U24" i="21" s="1"/>
  <c r="P24" i="21"/>
  <c r="J24" i="21"/>
  <c r="A87" i="17"/>
  <c r="T7" i="22"/>
  <c r="A107" i="24"/>
  <c r="P7" i="22"/>
  <c r="J7" i="22"/>
  <c r="A87" i="23"/>
  <c r="V23" i="21"/>
  <c r="U23" i="21" s="1"/>
  <c r="A81" i="24"/>
  <c r="A86" i="17"/>
  <c r="P23" i="21"/>
  <c r="A76" i="23"/>
  <c r="P12" i="21"/>
  <c r="A75" i="17"/>
  <c r="T12" i="21"/>
  <c r="A70" i="24"/>
  <c r="J12" i="21"/>
  <c r="A121" i="23"/>
  <c r="A115" i="24"/>
  <c r="A120" i="17"/>
  <c r="C120" i="17" s="1"/>
  <c r="T23" i="21"/>
  <c r="A145" i="23"/>
  <c r="T39" i="22"/>
  <c r="A144" i="17"/>
  <c r="P39" i="22"/>
  <c r="V39" i="22"/>
  <c r="U39" i="22" s="1"/>
  <c r="J39" i="22"/>
  <c r="A112" i="17"/>
  <c r="A99" i="17"/>
  <c r="A100" i="23"/>
  <c r="V36" i="21"/>
  <c r="U36" i="21" s="1"/>
  <c r="T36" i="21"/>
  <c r="J36" i="21"/>
  <c r="P36" i="21"/>
  <c r="A94" i="24"/>
  <c r="A142" i="17"/>
  <c r="T37" i="22"/>
  <c r="V37" i="22"/>
  <c r="U37" i="22" s="1"/>
  <c r="A137" i="24"/>
  <c r="A143" i="23"/>
  <c r="J37" i="22"/>
  <c r="P37" i="22"/>
  <c r="A107" i="23"/>
  <c r="A106" i="17"/>
  <c r="C106" i="17" s="1"/>
  <c r="J43" i="21"/>
  <c r="A101" i="24"/>
  <c r="V43" i="21"/>
  <c r="U43" i="21" s="1"/>
  <c r="P6" i="22"/>
  <c r="A111" i="17"/>
  <c r="J6" i="22"/>
  <c r="V6" i="22"/>
  <c r="A106" i="24"/>
  <c r="A112" i="23"/>
  <c r="T6" i="22"/>
  <c r="A102" i="17"/>
  <c r="V39" i="21"/>
  <c r="U39" i="21" s="1"/>
  <c r="P39" i="21"/>
  <c r="T39" i="21"/>
  <c r="J39" i="21"/>
  <c r="A103" i="23"/>
  <c r="B81" i="17"/>
  <c r="C81" i="17" s="1"/>
  <c r="T43" i="21"/>
  <c r="J23" i="21"/>
  <c r="A139" i="24"/>
  <c r="A139" i="15" s="1"/>
  <c r="J16" i="21"/>
  <c r="A74" i="24"/>
  <c r="A75" i="15" s="1"/>
  <c r="A80" i="23"/>
  <c r="T16" i="21"/>
  <c r="P16" i="21"/>
  <c r="A79" i="17"/>
  <c r="V16" i="21"/>
  <c r="U16" i="21" s="1"/>
  <c r="T20" i="21"/>
  <c r="P20" i="21"/>
  <c r="A78" i="24"/>
  <c r="J20" i="21"/>
  <c r="A84" i="23"/>
  <c r="V20" i="21"/>
  <c r="U20" i="21" s="1"/>
  <c r="B97" i="17"/>
  <c r="B75" i="24"/>
  <c r="B76" i="15" s="1"/>
  <c r="B81" i="23"/>
  <c r="B82" i="23"/>
  <c r="C82" i="23" s="1"/>
  <c r="J56" i="2"/>
  <c r="A59" i="23"/>
  <c r="A53" i="24"/>
  <c r="J43" i="2"/>
  <c r="A40" i="24"/>
  <c r="A40" i="15" s="1"/>
  <c r="A45" i="23"/>
  <c r="J17" i="2"/>
  <c r="A19" i="23"/>
  <c r="A14" i="24"/>
  <c r="A14" i="15" s="1"/>
  <c r="V17" i="2"/>
  <c r="U17" i="2" s="1"/>
  <c r="V56" i="2"/>
  <c r="U56" i="2" s="1"/>
  <c r="I5" i="2"/>
  <c r="A45" i="17"/>
  <c r="P56" i="2"/>
  <c r="T43" i="2"/>
  <c r="P43" i="2"/>
  <c r="T56" i="2"/>
  <c r="V43" i="2"/>
  <c r="U43" i="2" s="1"/>
  <c r="T17" i="2"/>
  <c r="P17" i="2"/>
  <c r="A19" i="17"/>
  <c r="A58" i="17"/>
  <c r="I17" i="5"/>
  <c r="I18" i="5"/>
  <c r="D6" i="2"/>
  <c r="E48" i="2"/>
  <c r="G6" i="2"/>
  <c r="F45" i="2"/>
  <c r="G36" i="2"/>
  <c r="D34" i="2"/>
  <c r="G65" i="2"/>
  <c r="F42" i="2"/>
  <c r="G64" i="2"/>
  <c r="D39" i="2"/>
  <c r="E11" i="2"/>
  <c r="D38" i="2"/>
  <c r="E7" i="2"/>
  <c r="G48" i="2"/>
  <c r="D42" i="2"/>
  <c r="F41" i="2"/>
  <c r="F40" i="2"/>
  <c r="G45" i="2"/>
  <c r="F39" i="2"/>
  <c r="G44" i="2"/>
  <c r="F37" i="2"/>
  <c r="G42" i="2"/>
  <c r="D37" i="2"/>
  <c r="D41" i="2"/>
  <c r="D40" i="2"/>
  <c r="D35" i="2"/>
  <c r="F36" i="2"/>
  <c r="F19" i="2"/>
  <c r="E18" i="2"/>
  <c r="G39" i="2"/>
  <c r="E14" i="2"/>
  <c r="E13" i="2"/>
  <c r="E12" i="2"/>
  <c r="E6" i="2"/>
  <c r="D36" i="2"/>
  <c r="G41" i="2"/>
  <c r="G40" i="2"/>
  <c r="D44" i="2"/>
  <c r="E16" i="2"/>
  <c r="G37" i="2"/>
  <c r="D29" i="2"/>
  <c r="F18" i="2"/>
  <c r="D16" i="2"/>
  <c r="G35" i="2"/>
  <c r="F12" i="2"/>
  <c r="E52" i="2"/>
  <c r="F11" i="2"/>
  <c r="G30" i="2"/>
  <c r="D18" i="2"/>
  <c r="F16" i="2"/>
  <c r="E51" i="2"/>
  <c r="F7" i="2"/>
  <c r="G29" i="2"/>
  <c r="E47" i="2"/>
  <c r="G13" i="2"/>
  <c r="G34" i="2"/>
  <c r="E44" i="2"/>
  <c r="G11" i="2"/>
  <c r="G12" i="2"/>
  <c r="E42" i="2"/>
  <c r="G7" i="2"/>
  <c r="F14" i="2"/>
  <c r="E45" i="2"/>
  <c r="E40" i="2"/>
  <c r="D33" i="2"/>
  <c r="F13" i="2"/>
  <c r="F6" i="2"/>
  <c r="E23" i="2"/>
  <c r="E46" i="2"/>
  <c r="E26" i="2"/>
  <c r="E49" i="2"/>
  <c r="E27" i="2"/>
  <c r="E50" i="2"/>
  <c r="E8" i="2"/>
  <c r="E31" i="2"/>
  <c r="E53" i="2"/>
  <c r="E9" i="2"/>
  <c r="E32" i="2"/>
  <c r="E54" i="2"/>
  <c r="E10" i="2"/>
  <c r="E33" i="2"/>
  <c r="E55" i="2"/>
  <c r="E15" i="2"/>
  <c r="E38" i="2"/>
  <c r="E61" i="2"/>
  <c r="E21" i="2"/>
  <c r="E57" i="2"/>
  <c r="E22" i="2"/>
  <c r="E58" i="2"/>
  <c r="E24" i="2"/>
  <c r="E59" i="2"/>
  <c r="E25" i="2"/>
  <c r="E60" i="2"/>
  <c r="E28" i="2"/>
  <c r="E62" i="2"/>
  <c r="E29" i="2"/>
  <c r="E63" i="2"/>
  <c r="E34" i="2"/>
  <c r="E65" i="2"/>
  <c r="E30" i="2"/>
  <c r="E64" i="2"/>
  <c r="E35" i="2"/>
  <c r="D64" i="2"/>
  <c r="D13" i="2"/>
  <c r="E41" i="2"/>
  <c r="F57" i="2"/>
  <c r="F51" i="2"/>
  <c r="D23" i="2"/>
  <c r="D46" i="2"/>
  <c r="D26" i="2"/>
  <c r="D49" i="2"/>
  <c r="D27" i="2"/>
  <c r="D50" i="2"/>
  <c r="D8" i="2"/>
  <c r="D31" i="2"/>
  <c r="D53" i="2"/>
  <c r="D9" i="2"/>
  <c r="D32" i="2"/>
  <c r="D54" i="2"/>
  <c r="D10" i="2"/>
  <c r="D15" i="2"/>
  <c r="D19" i="2"/>
  <c r="D48" i="2"/>
  <c r="D51" i="2"/>
  <c r="D20" i="2"/>
  <c r="D25" i="2"/>
  <c r="D58" i="2"/>
  <c r="D21" i="2"/>
  <c r="D52" i="2"/>
  <c r="D22" i="2"/>
  <c r="D24" i="2"/>
  <c r="D55" i="2"/>
  <c r="D57" i="2"/>
  <c r="D28" i="2"/>
  <c r="D30" i="2"/>
  <c r="D60" i="2"/>
  <c r="D65" i="2"/>
  <c r="D14" i="2"/>
  <c r="D12" i="2"/>
  <c r="D62" i="2"/>
  <c r="D11" i="2"/>
  <c r="E39" i="2"/>
  <c r="F52" i="2"/>
  <c r="D7" i="2"/>
  <c r="D59" i="2"/>
  <c r="E36" i="2"/>
  <c r="F48" i="2"/>
  <c r="D47" i="2"/>
  <c r="E20" i="2"/>
  <c r="F23" i="2"/>
  <c r="F46" i="2"/>
  <c r="F24" i="2"/>
  <c r="F47" i="2"/>
  <c r="F26" i="2"/>
  <c r="F49" i="2"/>
  <c r="F27" i="2"/>
  <c r="F50" i="2"/>
  <c r="F8" i="2"/>
  <c r="F31" i="2"/>
  <c r="F53" i="2"/>
  <c r="F9" i="2"/>
  <c r="F32" i="2"/>
  <c r="F54" i="2"/>
  <c r="F10" i="2"/>
  <c r="F33" i="2"/>
  <c r="F55" i="2"/>
  <c r="F15" i="2"/>
  <c r="F38" i="2"/>
  <c r="F61" i="2"/>
  <c r="F20" i="2"/>
  <c r="F58" i="2"/>
  <c r="F59" i="2"/>
  <c r="F34" i="2"/>
  <c r="F21" i="2"/>
  <c r="F29" i="2"/>
  <c r="F22" i="2"/>
  <c r="F60" i="2"/>
  <c r="F25" i="2"/>
  <c r="F62" i="2"/>
  <c r="F28" i="2"/>
  <c r="F63" i="2"/>
  <c r="F64" i="2"/>
  <c r="F30" i="2"/>
  <c r="F65" i="2"/>
  <c r="F35" i="2"/>
  <c r="D63" i="2"/>
  <c r="D61" i="2"/>
  <c r="E37" i="2"/>
  <c r="D45" i="2"/>
  <c r="E19" i="2"/>
  <c r="F44" i="2"/>
  <c r="G23" i="2"/>
  <c r="G46" i="2"/>
  <c r="G24" i="2"/>
  <c r="G47" i="2"/>
  <c r="G26" i="2"/>
  <c r="G49" i="2"/>
  <c r="G27" i="2"/>
  <c r="G50" i="2"/>
  <c r="G8" i="2"/>
  <c r="G31" i="2"/>
  <c r="G53" i="2"/>
  <c r="G9" i="2"/>
  <c r="G32" i="2"/>
  <c r="G54" i="2"/>
  <c r="G10" i="2"/>
  <c r="G33" i="2"/>
  <c r="G55" i="2"/>
  <c r="G15" i="2"/>
  <c r="G38" i="2"/>
  <c r="G61" i="2"/>
  <c r="G63" i="2"/>
  <c r="G28" i="2"/>
  <c r="G25" i="2"/>
  <c r="G60" i="2"/>
  <c r="G22" i="2"/>
  <c r="G62" i="2"/>
  <c r="G59" i="2"/>
  <c r="G21" i="2"/>
  <c r="G58" i="2"/>
  <c r="G20" i="2"/>
  <c r="G57" i="2"/>
  <c r="G19" i="2"/>
  <c r="G18" i="2"/>
  <c r="G52" i="2"/>
  <c r="G16" i="2"/>
  <c r="G51" i="2"/>
  <c r="G14" i="2"/>
  <c r="C12" i="3"/>
  <c r="B126" i="23" l="1"/>
  <c r="C126" i="23" s="1"/>
  <c r="C81" i="23"/>
  <c r="B119" i="17"/>
  <c r="C119" i="17" s="1"/>
  <c r="B114" i="23"/>
  <c r="C114" i="23" s="1"/>
  <c r="A66" i="15"/>
  <c r="B66" i="24"/>
  <c r="A105" i="15"/>
  <c r="A116" i="15"/>
  <c r="A138" i="15"/>
  <c r="A122" i="15"/>
  <c r="A125" i="15"/>
  <c r="A114" i="15"/>
  <c r="C113" i="17"/>
  <c r="A93" i="15"/>
  <c r="B108" i="24"/>
  <c r="C71" i="17"/>
  <c r="A95" i="15"/>
  <c r="B64" i="15"/>
  <c r="B115" i="15"/>
  <c r="A108" i="15"/>
  <c r="A118" i="15"/>
  <c r="A73" i="15"/>
  <c r="A79" i="15"/>
  <c r="A113" i="15"/>
  <c r="A119" i="15"/>
  <c r="A99" i="15"/>
  <c r="A112" i="15"/>
  <c r="B68" i="17"/>
  <c r="C68" i="17" s="1"/>
  <c r="A84" i="15"/>
  <c r="A68" i="15"/>
  <c r="A71" i="15"/>
  <c r="A70" i="15"/>
  <c r="A106" i="15"/>
  <c r="A72" i="15"/>
  <c r="A103" i="15"/>
  <c r="A141" i="15"/>
  <c r="A126" i="15"/>
  <c r="A101" i="15"/>
  <c r="A64" i="15"/>
  <c r="B72" i="23"/>
  <c r="C72" i="23" s="1"/>
  <c r="B142" i="23"/>
  <c r="C142" i="23" s="1"/>
  <c r="B120" i="23"/>
  <c r="C120" i="23" s="1"/>
  <c r="A89" i="15"/>
  <c r="A135" i="15"/>
  <c r="A111" i="15"/>
  <c r="A82" i="15"/>
  <c r="A110" i="15"/>
  <c r="A88" i="15"/>
  <c r="A65" i="15"/>
  <c r="A107" i="15"/>
  <c r="A90" i="15"/>
  <c r="A100" i="15"/>
  <c r="A81" i="15"/>
  <c r="A128" i="15"/>
  <c r="A102" i="15"/>
  <c r="A92" i="15"/>
  <c r="A115" i="15"/>
  <c r="A124" i="15"/>
  <c r="A69" i="15"/>
  <c r="A74" i="15"/>
  <c r="A78" i="15"/>
  <c r="A140" i="15"/>
  <c r="A134" i="15"/>
  <c r="A121" i="15"/>
  <c r="A83" i="15"/>
  <c r="A117" i="15"/>
  <c r="A131" i="15"/>
  <c r="A67" i="15"/>
  <c r="A87" i="15"/>
  <c r="A86" i="15"/>
  <c r="B67" i="15"/>
  <c r="A94" i="15"/>
  <c r="A104" i="15"/>
  <c r="A123" i="15"/>
  <c r="A109" i="15"/>
  <c r="A127" i="15"/>
  <c r="A80" i="15"/>
  <c r="A142" i="15"/>
  <c r="A137" i="15"/>
  <c r="A98" i="15"/>
  <c r="C97" i="17"/>
  <c r="C123" i="17"/>
  <c r="C107" i="23"/>
  <c r="B89" i="24"/>
  <c r="C94" i="17"/>
  <c r="C103" i="17"/>
  <c r="B133" i="24"/>
  <c r="B101" i="23"/>
  <c r="C101" i="23" s="1"/>
  <c r="C146" i="17"/>
  <c r="C137" i="23"/>
  <c r="B95" i="24"/>
  <c r="B96" i="15" s="1"/>
  <c r="C125" i="17"/>
  <c r="B141" i="24"/>
  <c r="B124" i="23"/>
  <c r="C124" i="23" s="1"/>
  <c r="B104" i="23"/>
  <c r="C104" i="23" s="1"/>
  <c r="B98" i="24"/>
  <c r="B118" i="24"/>
  <c r="B95" i="23"/>
  <c r="C95" i="23" s="1"/>
  <c r="B120" i="24"/>
  <c r="B117" i="23"/>
  <c r="C117" i="23" s="1"/>
  <c r="C138" i="17"/>
  <c r="B111" i="24"/>
  <c r="C71" i="23"/>
  <c r="C132" i="17"/>
  <c r="C129" i="23"/>
  <c r="C116" i="17"/>
  <c r="B70" i="17"/>
  <c r="C70" i="17" s="1"/>
  <c r="C84" i="17"/>
  <c r="B65" i="24"/>
  <c r="B66" i="15" s="1"/>
  <c r="C141" i="17"/>
  <c r="B124" i="17"/>
  <c r="C124" i="17" s="1"/>
  <c r="B119" i="24"/>
  <c r="B140" i="24"/>
  <c r="B145" i="17"/>
  <c r="C145" i="17" s="1"/>
  <c r="B146" i="23"/>
  <c r="C146" i="23" s="1"/>
  <c r="C136" i="17"/>
  <c r="B125" i="23"/>
  <c r="C125" i="23" s="1"/>
  <c r="B102" i="23"/>
  <c r="C102" i="23" s="1"/>
  <c r="B147" i="23"/>
  <c r="C147" i="23" s="1"/>
  <c r="C130" i="23"/>
  <c r="B110" i="17"/>
  <c r="C110" i="17" s="1"/>
  <c r="B111" i="23"/>
  <c r="C111" i="23" s="1"/>
  <c r="B105" i="24"/>
  <c r="B92" i="23"/>
  <c r="C92" i="23" s="1"/>
  <c r="B128" i="17"/>
  <c r="C128" i="17" s="1"/>
  <c r="C70" i="23"/>
  <c r="B91" i="17"/>
  <c r="C91" i="17" s="1"/>
  <c r="C133" i="23"/>
  <c r="B136" i="24"/>
  <c r="B101" i="17"/>
  <c r="C101" i="17" s="1"/>
  <c r="B123" i="24"/>
  <c r="B124" i="15" s="1"/>
  <c r="C72" i="17"/>
  <c r="B127" i="17"/>
  <c r="C127" i="17" s="1"/>
  <c r="B139" i="23"/>
  <c r="C139" i="23" s="1"/>
  <c r="B122" i="24"/>
  <c r="C121" i="23"/>
  <c r="C85" i="23"/>
  <c r="C116" i="23"/>
  <c r="C119" i="23"/>
  <c r="C115" i="17"/>
  <c r="C100" i="17"/>
  <c r="B139" i="17"/>
  <c r="C139" i="17" s="1"/>
  <c r="B140" i="23"/>
  <c r="C140" i="23" s="1"/>
  <c r="B134" i="24"/>
  <c r="C69" i="23"/>
  <c r="B113" i="24"/>
  <c r="B114" i="15" s="1"/>
  <c r="B118" i="17"/>
  <c r="C118" i="17" s="1"/>
  <c r="G8" i="9"/>
  <c r="B148" i="17"/>
  <c r="C148" i="17" s="1"/>
  <c r="B143" i="24"/>
  <c r="B130" i="24"/>
  <c r="B131" i="15" s="1"/>
  <c r="B135" i="17"/>
  <c r="C135" i="17" s="1"/>
  <c r="B136" i="23"/>
  <c r="C136" i="23" s="1"/>
  <c r="B122" i="17"/>
  <c r="C122" i="17" s="1"/>
  <c r="B117" i="24"/>
  <c r="B123" i="23"/>
  <c r="C123" i="23" s="1"/>
  <c r="F47" i="9"/>
  <c r="B92" i="17"/>
  <c r="C92" i="17" s="1"/>
  <c r="B87" i="24"/>
  <c r="B87" i="15" s="1"/>
  <c r="B93" i="23"/>
  <c r="C93" i="23" s="1"/>
  <c r="O10" i="9"/>
  <c r="B79" i="23"/>
  <c r="C79" i="23" s="1"/>
  <c r="B78" i="17"/>
  <c r="C78" i="17" s="1"/>
  <c r="B73" i="24"/>
  <c r="B69" i="24"/>
  <c r="B74" i="17"/>
  <c r="C74" i="17" s="1"/>
  <c r="B75" i="23"/>
  <c r="C75" i="23" s="1"/>
  <c r="B88" i="24"/>
  <c r="B94" i="23"/>
  <c r="C94" i="23" s="1"/>
  <c r="B93" i="17"/>
  <c r="C93" i="17" s="1"/>
  <c r="F9" i="9"/>
  <c r="B137" i="24"/>
  <c r="B138" i="15" s="1"/>
  <c r="B143" i="23"/>
  <c r="C143" i="23" s="1"/>
  <c r="B142" i="17"/>
  <c r="C142" i="17" s="1"/>
  <c r="B112" i="17"/>
  <c r="C112" i="17" s="1"/>
  <c r="B113" i="23"/>
  <c r="C113" i="23" s="1"/>
  <c r="B107" i="24"/>
  <c r="B139" i="24"/>
  <c r="B144" i="17"/>
  <c r="C144" i="17" s="1"/>
  <c r="B145" i="23"/>
  <c r="C145" i="23" s="1"/>
  <c r="B121" i="17"/>
  <c r="C121" i="17" s="1"/>
  <c r="B122" i="23"/>
  <c r="C122" i="23" s="1"/>
  <c r="B116" i="24"/>
  <c r="B116" i="15" s="1"/>
  <c r="B107" i="17"/>
  <c r="C107" i="17" s="1"/>
  <c r="B108" i="23"/>
  <c r="C108" i="23" s="1"/>
  <c r="B102" i="24"/>
  <c r="B142" i="24"/>
  <c r="B147" i="17"/>
  <c r="C147" i="17" s="1"/>
  <c r="B148" i="23"/>
  <c r="C148" i="23" s="1"/>
  <c r="B106" i="23"/>
  <c r="C106" i="23" s="1"/>
  <c r="B105" i="17"/>
  <c r="C105" i="17" s="1"/>
  <c r="B100" i="24"/>
  <c r="B101" i="15" s="1"/>
  <c r="B132" i="24"/>
  <c r="B137" i="17"/>
  <c r="C137" i="17" s="1"/>
  <c r="B138" i="23"/>
  <c r="C138" i="23" s="1"/>
  <c r="B90" i="24"/>
  <c r="B95" i="17"/>
  <c r="C95" i="17" s="1"/>
  <c r="B96" i="23"/>
  <c r="C96" i="23" s="1"/>
  <c r="B105" i="23"/>
  <c r="C105" i="23" s="1"/>
  <c r="B104" i="17"/>
  <c r="C104" i="17" s="1"/>
  <c r="B99" i="24"/>
  <c r="B94" i="24"/>
  <c r="B100" i="23"/>
  <c r="C100" i="23" s="1"/>
  <c r="B99" i="17"/>
  <c r="C99" i="17" s="1"/>
  <c r="B127" i="23"/>
  <c r="C127" i="23" s="1"/>
  <c r="B121" i="24"/>
  <c r="B126" i="17"/>
  <c r="C126" i="17" s="1"/>
  <c r="B99" i="23"/>
  <c r="C99" i="23" s="1"/>
  <c r="B98" i="17"/>
  <c r="C98" i="17" s="1"/>
  <c r="B93" i="24"/>
  <c r="B80" i="24"/>
  <c r="B85" i="17"/>
  <c r="C85" i="17" s="1"/>
  <c r="B86" i="23"/>
  <c r="C86" i="23" s="1"/>
  <c r="B114" i="17"/>
  <c r="C114" i="17" s="1"/>
  <c r="B109" i="24"/>
  <c r="B110" i="15" s="1"/>
  <c r="B115" i="23"/>
  <c r="C115" i="23" s="1"/>
  <c r="O11" i="9"/>
  <c r="B117" i="17"/>
  <c r="C117" i="17" s="1"/>
  <c r="B118" i="23"/>
  <c r="C118" i="23" s="1"/>
  <c r="B112" i="24"/>
  <c r="G9" i="9"/>
  <c r="B103" i="23"/>
  <c r="C103" i="23" s="1"/>
  <c r="B97" i="24"/>
  <c r="B102" i="17"/>
  <c r="C102" i="17" s="1"/>
  <c r="B133" i="17"/>
  <c r="C133" i="17" s="1"/>
  <c r="B128" i="24"/>
  <c r="B134" i="23"/>
  <c r="C134" i="23" s="1"/>
  <c r="B78" i="24"/>
  <c r="B79" i="15" s="1"/>
  <c r="B83" i="17"/>
  <c r="C83" i="17" s="1"/>
  <c r="B84" i="23"/>
  <c r="C84" i="23" s="1"/>
  <c r="B76" i="23"/>
  <c r="C76" i="23" s="1"/>
  <c r="B70" i="24"/>
  <c r="B75" i="17"/>
  <c r="C75" i="17" s="1"/>
  <c r="B76" i="17"/>
  <c r="C76" i="17" s="1"/>
  <c r="B77" i="23"/>
  <c r="C77" i="23" s="1"/>
  <c r="B71" i="24"/>
  <c r="B74" i="24"/>
  <c r="B75" i="15" s="1"/>
  <c r="B79" i="17"/>
  <c r="C79" i="17" s="1"/>
  <c r="B80" i="23"/>
  <c r="C80" i="23" s="1"/>
  <c r="B104" i="24"/>
  <c r="B109" i="17"/>
  <c r="C109" i="17" s="1"/>
  <c r="B110" i="23"/>
  <c r="C110" i="23" s="1"/>
  <c r="B72" i="24"/>
  <c r="B78" i="23"/>
  <c r="C78" i="23" s="1"/>
  <c r="B77" i="17"/>
  <c r="C77" i="17" s="1"/>
  <c r="F8" i="9"/>
  <c r="B82" i="24"/>
  <c r="B87" i="17"/>
  <c r="C87" i="17" s="1"/>
  <c r="B88" i="23"/>
  <c r="C88" i="23" s="1"/>
  <c r="B84" i="24"/>
  <c r="B85" i="15" s="1"/>
  <c r="B90" i="23"/>
  <c r="C90" i="23" s="1"/>
  <c r="B89" i="17"/>
  <c r="C89" i="17" s="1"/>
  <c r="U6" i="22"/>
  <c r="G47" i="9" s="1"/>
  <c r="N11" i="9"/>
  <c r="B97" i="23"/>
  <c r="C97" i="23" s="1"/>
  <c r="B96" i="17"/>
  <c r="C96" i="17" s="1"/>
  <c r="B91" i="24"/>
  <c r="B92" i="15" s="1"/>
  <c r="B87" i="23"/>
  <c r="C87" i="23" s="1"/>
  <c r="B86" i="17"/>
  <c r="C86" i="17" s="1"/>
  <c r="B81" i="24"/>
  <c r="B68" i="24"/>
  <c r="B74" i="23"/>
  <c r="C74" i="23" s="1"/>
  <c r="B73" i="17"/>
  <c r="C73" i="17" s="1"/>
  <c r="N10" i="9"/>
  <c r="B89" i="23"/>
  <c r="C89" i="23" s="1"/>
  <c r="B83" i="24"/>
  <c r="B88" i="17"/>
  <c r="C88" i="17" s="1"/>
  <c r="B83" i="23"/>
  <c r="C83" i="23" s="1"/>
  <c r="B77" i="24"/>
  <c r="B82" i="17"/>
  <c r="C82" i="17" s="1"/>
  <c r="B109" i="23"/>
  <c r="C109" i="23" s="1"/>
  <c r="B108" i="17"/>
  <c r="C108" i="17" s="1"/>
  <c r="B103" i="24"/>
  <c r="C98" i="23"/>
  <c r="F48" i="9"/>
  <c r="B131" i="17"/>
  <c r="C131" i="17" s="1"/>
  <c r="B126" i="24"/>
  <c r="B127" i="15" s="1"/>
  <c r="B132" i="23"/>
  <c r="C132" i="23" s="1"/>
  <c r="B111" i="17"/>
  <c r="C111" i="17" s="1"/>
  <c r="B106" i="24"/>
  <c r="B112" i="23"/>
  <c r="C112" i="23" s="1"/>
  <c r="G48" i="9"/>
  <c r="B140" i="17"/>
  <c r="C140" i="17" s="1"/>
  <c r="B141" i="23"/>
  <c r="C141" i="23" s="1"/>
  <c r="B135" i="24"/>
  <c r="B136" i="15" s="1"/>
  <c r="B125" i="24"/>
  <c r="B131" i="23"/>
  <c r="C131" i="23" s="1"/>
  <c r="B130" i="17"/>
  <c r="C130" i="17" s="1"/>
  <c r="K133" i="24"/>
  <c r="K122" i="24"/>
  <c r="K111" i="24"/>
  <c r="K100" i="24"/>
  <c r="K89" i="24"/>
  <c r="K78" i="24"/>
  <c r="K67" i="24"/>
  <c r="K56" i="24"/>
  <c r="K46" i="24"/>
  <c r="K46" i="15" s="1"/>
  <c r="K35" i="24"/>
  <c r="K35" i="15" s="1"/>
  <c r="K24" i="24"/>
  <c r="K24" i="15" s="1"/>
  <c r="K13" i="24"/>
  <c r="K13" i="15" s="1"/>
  <c r="K2" i="24"/>
  <c r="K2" i="15" s="1"/>
  <c r="K134" i="24"/>
  <c r="K112" i="24"/>
  <c r="K101" i="24"/>
  <c r="K79" i="24"/>
  <c r="K36" i="24"/>
  <c r="K36" i="15" s="1"/>
  <c r="K14" i="24"/>
  <c r="K14" i="15" s="1"/>
  <c r="K141" i="24"/>
  <c r="K119" i="24"/>
  <c r="K64" i="24"/>
  <c r="K32" i="24"/>
  <c r="K32" i="15" s="1"/>
  <c r="K115" i="24"/>
  <c r="K82" i="24"/>
  <c r="K71" i="24"/>
  <c r="K124" i="24"/>
  <c r="K91" i="24"/>
  <c r="K80" i="24"/>
  <c r="K58" i="24"/>
  <c r="K37" i="24"/>
  <c r="K37" i="15" s="1"/>
  <c r="K26" i="24"/>
  <c r="K26" i="15" s="1"/>
  <c r="K4" i="24"/>
  <c r="K4" i="15" s="1"/>
  <c r="K142" i="24"/>
  <c r="K131" i="24"/>
  <c r="K120" i="24"/>
  <c r="K109" i="24"/>
  <c r="K98" i="24"/>
  <c r="K87" i="24"/>
  <c r="K76" i="24"/>
  <c r="K65" i="24"/>
  <c r="K66" i="15" s="1"/>
  <c r="K54" i="24"/>
  <c r="K44" i="24"/>
  <c r="K44" i="15" s="1"/>
  <c r="K33" i="24"/>
  <c r="K33" i="15" s="1"/>
  <c r="K22" i="24"/>
  <c r="K22" i="15" s="1"/>
  <c r="K11" i="24"/>
  <c r="K11" i="15" s="1"/>
  <c r="K123" i="24"/>
  <c r="K90" i="24"/>
  <c r="K68" i="24"/>
  <c r="K47" i="24"/>
  <c r="K47" i="15" s="1"/>
  <c r="K25" i="24"/>
  <c r="K25" i="15" s="1"/>
  <c r="K3" i="24"/>
  <c r="K3" i="15" s="1"/>
  <c r="K108" i="24"/>
  <c r="K86" i="24"/>
  <c r="K53" i="24"/>
  <c r="K21" i="24"/>
  <c r="K21" i="15" s="1"/>
  <c r="K10" i="24"/>
  <c r="K10" i="15" s="1"/>
  <c r="K126" i="24"/>
  <c r="K104" i="24"/>
  <c r="K93" i="24"/>
  <c r="K60" i="24"/>
  <c r="K39" i="24"/>
  <c r="K39" i="15" s="1"/>
  <c r="K28" i="24"/>
  <c r="K28" i="15" s="1"/>
  <c r="K17" i="24"/>
  <c r="K17" i="15" s="1"/>
  <c r="K6" i="24"/>
  <c r="K6" i="15" s="1"/>
  <c r="K135" i="24"/>
  <c r="K113" i="24"/>
  <c r="K102" i="24"/>
  <c r="K69" i="24"/>
  <c r="K48" i="24"/>
  <c r="K48" i="15" s="1"/>
  <c r="K15" i="24"/>
  <c r="K15" i="15" s="1"/>
  <c r="K57" i="24"/>
  <c r="K140" i="24"/>
  <c r="K129" i="24"/>
  <c r="K118" i="24"/>
  <c r="K107" i="24"/>
  <c r="K96" i="24"/>
  <c r="K85" i="24"/>
  <c r="K74" i="24"/>
  <c r="K63" i="24"/>
  <c r="K52" i="24"/>
  <c r="K42" i="24"/>
  <c r="K42" i="15" s="1"/>
  <c r="K31" i="24"/>
  <c r="K31" i="15" s="1"/>
  <c r="K20" i="24"/>
  <c r="K20" i="15" s="1"/>
  <c r="K9" i="24"/>
  <c r="K9" i="15" s="1"/>
  <c r="K75" i="24"/>
  <c r="K137" i="24"/>
  <c r="K138" i="24"/>
  <c r="K127" i="24"/>
  <c r="K116" i="24"/>
  <c r="K105" i="24"/>
  <c r="K94" i="24"/>
  <c r="K83" i="24"/>
  <c r="K72" i="24"/>
  <c r="K61" i="24"/>
  <c r="K50" i="24"/>
  <c r="K50" i="15" s="1"/>
  <c r="K40" i="24"/>
  <c r="K40" i="15" s="1"/>
  <c r="K29" i="24"/>
  <c r="K29" i="15" s="1"/>
  <c r="K18" i="24"/>
  <c r="K18" i="15" s="1"/>
  <c r="K7" i="24"/>
  <c r="K7" i="15" s="1"/>
  <c r="K136" i="24"/>
  <c r="K125" i="24"/>
  <c r="K114" i="24"/>
  <c r="K103" i="24"/>
  <c r="K92" i="24"/>
  <c r="K93" i="15" s="1"/>
  <c r="K81" i="24"/>
  <c r="K70" i="24"/>
  <c r="K59" i="24"/>
  <c r="K49" i="24"/>
  <c r="K49" i="15" s="1"/>
  <c r="K38" i="24"/>
  <c r="K38" i="15" s="1"/>
  <c r="K27" i="24"/>
  <c r="K27" i="15" s="1"/>
  <c r="K16" i="24"/>
  <c r="K16" i="15" s="1"/>
  <c r="K5" i="24"/>
  <c r="K5" i="15" s="1"/>
  <c r="K43" i="24"/>
  <c r="K43" i="15" s="1"/>
  <c r="K130" i="24"/>
  <c r="K143" i="24"/>
  <c r="K132" i="24"/>
  <c r="K121" i="24"/>
  <c r="K110" i="24"/>
  <c r="K99" i="24"/>
  <c r="K88" i="24"/>
  <c r="K77" i="24"/>
  <c r="K66" i="24"/>
  <c r="K55" i="24"/>
  <c r="K45" i="24"/>
  <c r="K45" i="15" s="1"/>
  <c r="K34" i="24"/>
  <c r="K34" i="15" s="1"/>
  <c r="K23" i="24"/>
  <c r="K23" i="15" s="1"/>
  <c r="K12" i="24"/>
  <c r="K12" i="15" s="1"/>
  <c r="K97" i="24"/>
  <c r="K139" i="24"/>
  <c r="K128" i="24"/>
  <c r="K117" i="24"/>
  <c r="K106" i="24"/>
  <c r="K95" i="24"/>
  <c r="K84" i="24"/>
  <c r="K73" i="24"/>
  <c r="K62" i="24"/>
  <c r="K51" i="24"/>
  <c r="K41" i="24"/>
  <c r="K41" i="15" s="1"/>
  <c r="K30" i="24"/>
  <c r="K30" i="15" s="1"/>
  <c r="K19" i="24"/>
  <c r="K19" i="15" s="1"/>
  <c r="K8" i="24"/>
  <c r="K8" i="15" s="1"/>
  <c r="J5" i="2"/>
  <c r="A7" i="23"/>
  <c r="A2" i="24"/>
  <c r="A2" i="15" s="1"/>
  <c r="B58" i="17"/>
  <c r="C58" i="17" s="1"/>
  <c r="B53" i="24"/>
  <c r="B59" i="23"/>
  <c r="C59" i="23" s="1"/>
  <c r="B19" i="17"/>
  <c r="C19" i="17" s="1"/>
  <c r="B14" i="24"/>
  <c r="B14" i="15" s="1"/>
  <c r="B19" i="23"/>
  <c r="C19" i="23" s="1"/>
  <c r="B45" i="17"/>
  <c r="C45" i="17" s="1"/>
  <c r="B40" i="24"/>
  <c r="B40" i="15" s="1"/>
  <c r="B45" i="23"/>
  <c r="C45" i="23" s="1"/>
  <c r="P5" i="2"/>
  <c r="C69" i="17"/>
  <c r="A7" i="17"/>
  <c r="T5" i="2"/>
  <c r="V5" i="2"/>
  <c r="U5" i="2" s="1"/>
  <c r="I21" i="5"/>
  <c r="H12" i="3" s="1"/>
  <c r="H45" i="2"/>
  <c r="H36" i="2"/>
  <c r="H16" i="2"/>
  <c r="H55" i="2"/>
  <c r="H48" i="2"/>
  <c r="H24" i="2"/>
  <c r="H65" i="2"/>
  <c r="H42" i="2"/>
  <c r="H40" i="2"/>
  <c r="H46" i="2"/>
  <c r="H18" i="2"/>
  <c r="H47" i="2"/>
  <c r="H14" i="2"/>
  <c r="H38" i="2"/>
  <c r="H12" i="2"/>
  <c r="H37" i="2"/>
  <c r="H6" i="2"/>
  <c r="H29" i="2"/>
  <c r="H41" i="2"/>
  <c r="H44" i="2"/>
  <c r="H39" i="2"/>
  <c r="H34" i="2"/>
  <c r="H25" i="2"/>
  <c r="H27" i="2"/>
  <c r="H50" i="2"/>
  <c r="H28" i="2"/>
  <c r="H57" i="2"/>
  <c r="H13" i="2"/>
  <c r="H59" i="2"/>
  <c r="H11" i="2"/>
  <c r="H7" i="2"/>
  <c r="H23" i="2"/>
  <c r="H61" i="2"/>
  <c r="H26" i="2"/>
  <c r="H20" i="2"/>
  <c r="H58" i="2"/>
  <c r="H54" i="2"/>
  <c r="H51" i="2"/>
  <c r="H9" i="2"/>
  <c r="H35" i="2"/>
  <c r="H10" i="2"/>
  <c r="H19" i="2"/>
  <c r="H64" i="2"/>
  <c r="H15" i="2"/>
  <c r="H49" i="2"/>
  <c r="H63" i="2"/>
  <c r="H22" i="2"/>
  <c r="H33" i="2"/>
  <c r="H32" i="2"/>
  <c r="H62" i="2"/>
  <c r="H21" i="2"/>
  <c r="H60" i="2"/>
  <c r="H52" i="2"/>
  <c r="H30" i="2"/>
  <c r="H53" i="2"/>
  <c r="H31" i="2"/>
  <c r="H8" i="2"/>
  <c r="K136" i="15" l="1"/>
  <c r="B108" i="15"/>
  <c r="K98" i="15"/>
  <c r="K106" i="15"/>
  <c r="K134" i="15"/>
  <c r="B123" i="15"/>
  <c r="B133" i="15"/>
  <c r="K120" i="15"/>
  <c r="K142" i="15"/>
  <c r="B113" i="15"/>
  <c r="K88" i="15"/>
  <c r="K73" i="15"/>
  <c r="B99" i="15"/>
  <c r="K60" i="15"/>
  <c r="K77" i="15"/>
  <c r="B91" i="15"/>
  <c r="B109" i="15"/>
  <c r="K122" i="15"/>
  <c r="B74" i="15"/>
  <c r="K62" i="15"/>
  <c r="K130" i="15"/>
  <c r="K57" i="15"/>
  <c r="B103" i="15"/>
  <c r="K68" i="15"/>
  <c r="K95" i="15"/>
  <c r="B100" i="15"/>
  <c r="K139" i="15"/>
  <c r="K65" i="15"/>
  <c r="B132" i="15"/>
  <c r="K76" i="15"/>
  <c r="K55" i="15"/>
  <c r="B81" i="15"/>
  <c r="B94" i="15"/>
  <c r="K111" i="15"/>
  <c r="K138" i="15"/>
  <c r="K82" i="15"/>
  <c r="K104" i="15"/>
  <c r="K61" i="15"/>
  <c r="K80" i="15"/>
  <c r="K115" i="15"/>
  <c r="K94" i="15"/>
  <c r="K102" i="15"/>
  <c r="K105" i="15"/>
  <c r="K118" i="15"/>
  <c r="K129" i="15"/>
  <c r="K71" i="15"/>
  <c r="K78" i="15"/>
  <c r="K86" i="15"/>
  <c r="K56" i="15"/>
  <c r="K113" i="15"/>
  <c r="K67" i="15"/>
  <c r="K127" i="15"/>
  <c r="K121" i="15"/>
  <c r="K89" i="15"/>
  <c r="K140" i="15"/>
  <c r="K100" i="15"/>
  <c r="K108" i="15"/>
  <c r="B82" i="15"/>
  <c r="B118" i="15"/>
  <c r="B102" i="15"/>
  <c r="B84" i="15"/>
  <c r="B134" i="15"/>
  <c r="B98" i="15"/>
  <c r="B142" i="15"/>
  <c r="B126" i="15"/>
  <c r="B105" i="15"/>
  <c r="B120" i="15"/>
  <c r="B69" i="15"/>
  <c r="B73" i="15"/>
  <c r="K53" i="15"/>
  <c r="K99" i="15"/>
  <c r="K126" i="15"/>
  <c r="K64" i="15"/>
  <c r="K110" i="15"/>
  <c r="K137" i="15"/>
  <c r="B107" i="15"/>
  <c r="K132" i="15"/>
  <c r="K97" i="15"/>
  <c r="K143" i="15"/>
  <c r="B89" i="15"/>
  <c r="B137" i="15"/>
  <c r="B97" i="15"/>
  <c r="K135" i="15"/>
  <c r="B71" i="15"/>
  <c r="B90" i="15"/>
  <c r="K51" i="15"/>
  <c r="K109" i="15"/>
  <c r="B143" i="15"/>
  <c r="B70" i="15"/>
  <c r="B135" i="15"/>
  <c r="B68" i="15"/>
  <c r="K54" i="15"/>
  <c r="K87" i="15"/>
  <c r="B104" i="15"/>
  <c r="K79" i="15"/>
  <c r="B122" i="15"/>
  <c r="B106" i="15"/>
  <c r="B141" i="15"/>
  <c r="K75" i="15"/>
  <c r="B72" i="15"/>
  <c r="B130" i="15"/>
  <c r="K133" i="15"/>
  <c r="B112" i="15"/>
  <c r="B111" i="15"/>
  <c r="K63" i="15"/>
  <c r="K131" i="15"/>
  <c r="K84" i="15"/>
  <c r="K92" i="15"/>
  <c r="K74" i="15"/>
  <c r="K69" i="15"/>
  <c r="K125" i="15"/>
  <c r="K90" i="15"/>
  <c r="B117" i="15"/>
  <c r="B125" i="15"/>
  <c r="B140" i="15"/>
  <c r="B139" i="15"/>
  <c r="K119" i="15"/>
  <c r="K141" i="15"/>
  <c r="K59" i="15"/>
  <c r="B93" i="15"/>
  <c r="B80" i="15"/>
  <c r="K52" i="15"/>
  <c r="K58" i="15"/>
  <c r="K81" i="15"/>
  <c r="K85" i="15"/>
  <c r="K70" i="15"/>
  <c r="K91" i="15"/>
  <c r="K72" i="15"/>
  <c r="K101" i="15"/>
  <c r="B129" i="15"/>
  <c r="B128" i="15"/>
  <c r="B121" i="15"/>
  <c r="K96" i="15"/>
  <c r="K117" i="15"/>
  <c r="K103" i="15"/>
  <c r="K124" i="15"/>
  <c r="K83" i="15"/>
  <c r="K112" i="15"/>
  <c r="B78" i="15"/>
  <c r="B77" i="15"/>
  <c r="B83" i="15"/>
  <c r="B88" i="15"/>
  <c r="B65" i="15"/>
  <c r="K107" i="15"/>
  <c r="K128" i="15"/>
  <c r="K114" i="15"/>
  <c r="K116" i="15"/>
  <c r="K123" i="15"/>
  <c r="B95" i="15"/>
  <c r="B119" i="15"/>
  <c r="G49" i="9"/>
  <c r="I16" i="19" s="1"/>
  <c r="F49" i="9"/>
  <c r="C52" i="9" s="1"/>
  <c r="B7" i="17"/>
  <c r="C7" i="17" s="1"/>
  <c r="B7" i="23"/>
  <c r="C7" i="23" s="1"/>
  <c r="B2" i="24"/>
  <c r="B2" i="15" s="1"/>
  <c r="I14" i="2"/>
  <c r="I11" i="2"/>
  <c r="I45" i="2"/>
  <c r="I29" i="2"/>
  <c r="I36" i="2"/>
  <c r="I40" i="2"/>
  <c r="I37" i="2"/>
  <c r="I25" i="2"/>
  <c r="I65" i="2"/>
  <c r="I27" i="2"/>
  <c r="I48" i="2"/>
  <c r="I50" i="2"/>
  <c r="I55" i="2"/>
  <c r="I41" i="2"/>
  <c r="I34" i="2"/>
  <c r="I60" i="2"/>
  <c r="I21" i="2"/>
  <c r="I24" i="2"/>
  <c r="I16" i="2"/>
  <c r="I12" i="2"/>
  <c r="I38" i="2"/>
  <c r="I20" i="2"/>
  <c r="I28" i="2"/>
  <c r="I47" i="2"/>
  <c r="I42" i="2"/>
  <c r="I35" i="2"/>
  <c r="I58" i="2"/>
  <c r="I59" i="2"/>
  <c r="I57" i="2"/>
  <c r="I26" i="2"/>
  <c r="I39" i="2"/>
  <c r="I18" i="2"/>
  <c r="I6" i="2"/>
  <c r="I9" i="2"/>
  <c r="I46" i="2"/>
  <c r="I19" i="2"/>
  <c r="I33" i="2"/>
  <c r="I44" i="2"/>
  <c r="I54" i="2"/>
  <c r="I32" i="2"/>
  <c r="I51" i="2"/>
  <c r="I61" i="2"/>
  <c r="I7" i="2"/>
  <c r="I63" i="2"/>
  <c r="I53" i="2"/>
  <c r="A55" i="23" s="1"/>
  <c r="I31" i="2"/>
  <c r="I62" i="2"/>
  <c r="I8" i="2"/>
  <c r="I22" i="2"/>
  <c r="I13" i="2"/>
  <c r="I23" i="2"/>
  <c r="I64" i="2"/>
  <c r="I10" i="2"/>
  <c r="I49" i="2"/>
  <c r="I15" i="2"/>
  <c r="I52" i="2"/>
  <c r="I30" i="2"/>
  <c r="C53" i="9" l="1"/>
  <c r="D16" i="19" s="1"/>
  <c r="D15" i="19"/>
  <c r="R3" i="21"/>
  <c r="I15" i="19"/>
  <c r="J50" i="2"/>
  <c r="A52" i="23"/>
  <c r="A47" i="24"/>
  <c r="A47" i="15" s="1"/>
  <c r="J27" i="2"/>
  <c r="A29" i="23"/>
  <c r="A24" i="24"/>
  <c r="A24" i="15" s="1"/>
  <c r="J63" i="2"/>
  <c r="A66" i="23"/>
  <c r="A60" i="24"/>
  <c r="J9" i="2"/>
  <c r="A11" i="23"/>
  <c r="A6" i="24"/>
  <c r="A6" i="15" s="1"/>
  <c r="J49" i="2"/>
  <c r="A51" i="23"/>
  <c r="A46" i="24"/>
  <c r="A46" i="15" s="1"/>
  <c r="J26" i="2"/>
  <c r="A28" i="23"/>
  <c r="A23" i="24"/>
  <c r="A23" i="15" s="1"/>
  <c r="J59" i="2"/>
  <c r="A62" i="23"/>
  <c r="A56" i="24"/>
  <c r="J8" i="2"/>
  <c r="A5" i="24"/>
  <c r="A5" i="15" s="1"/>
  <c r="A10" i="23"/>
  <c r="J31" i="2"/>
  <c r="A33" i="23"/>
  <c r="A28" i="24"/>
  <c r="A28" i="15" s="1"/>
  <c r="J38" i="2"/>
  <c r="A40" i="23"/>
  <c r="A35" i="24"/>
  <c r="A35" i="15" s="1"/>
  <c r="J61" i="2"/>
  <c r="A64" i="23"/>
  <c r="A58" i="24"/>
  <c r="J21" i="2"/>
  <c r="A18" i="24"/>
  <c r="A18" i="15" s="1"/>
  <c r="A23" i="23"/>
  <c r="J6" i="2"/>
  <c r="A3" i="24"/>
  <c r="A3" i="15" s="1"/>
  <c r="A8" i="23"/>
  <c r="J10" i="2"/>
  <c r="A12" i="23"/>
  <c r="A7" i="24"/>
  <c r="A7" i="15" s="1"/>
  <c r="J25" i="2"/>
  <c r="A22" i="24"/>
  <c r="A22" i="15" s="1"/>
  <c r="A27" i="23"/>
  <c r="J13" i="2"/>
  <c r="A15" i="23"/>
  <c r="A10" i="24"/>
  <c r="A10" i="15" s="1"/>
  <c r="J36" i="2"/>
  <c r="A33" i="24"/>
  <c r="A33" i="15" s="1"/>
  <c r="A38" i="23"/>
  <c r="J42" i="2"/>
  <c r="A44" i="23"/>
  <c r="A39" i="24"/>
  <c r="A39" i="15" s="1"/>
  <c r="J28" i="2"/>
  <c r="A30" i="23"/>
  <c r="A25" i="24"/>
  <c r="A25" i="15" s="1"/>
  <c r="J20" i="2"/>
  <c r="A22" i="23"/>
  <c r="A17" i="24"/>
  <c r="A17" i="15" s="1"/>
  <c r="J12" i="2"/>
  <c r="A14" i="23"/>
  <c r="A9" i="24"/>
  <c r="A9" i="15" s="1"/>
  <c r="J32" i="2"/>
  <c r="A34" i="23"/>
  <c r="A29" i="24"/>
  <c r="A29" i="15" s="1"/>
  <c r="J60" i="2"/>
  <c r="A63" i="23"/>
  <c r="A57" i="24"/>
  <c r="J15" i="2"/>
  <c r="A17" i="23"/>
  <c r="A12" i="24"/>
  <c r="A12" i="15" s="1"/>
  <c r="J39" i="2"/>
  <c r="A41" i="23"/>
  <c r="A36" i="24"/>
  <c r="A36" i="15" s="1"/>
  <c r="J37" i="2"/>
  <c r="A39" i="23"/>
  <c r="A34" i="24"/>
  <c r="A34" i="15" s="1"/>
  <c r="J58" i="2"/>
  <c r="A61" i="23"/>
  <c r="A55" i="24"/>
  <c r="J62" i="2"/>
  <c r="A59" i="24"/>
  <c r="A65" i="23"/>
  <c r="J47" i="2"/>
  <c r="A44" i="24"/>
  <c r="A44" i="15" s="1"/>
  <c r="A49" i="23"/>
  <c r="J14" i="2"/>
  <c r="A11" i="24"/>
  <c r="A11" i="15" s="1"/>
  <c r="A16" i="23"/>
  <c r="J51" i="2"/>
  <c r="A53" i="23"/>
  <c r="A48" i="24"/>
  <c r="A48" i="15" s="1"/>
  <c r="J34" i="2"/>
  <c r="A36" i="23"/>
  <c r="A31" i="24"/>
  <c r="A31" i="15" s="1"/>
  <c r="J52" i="2"/>
  <c r="A49" i="24"/>
  <c r="A49" i="15" s="1"/>
  <c r="A54" i="23"/>
  <c r="J18" i="2"/>
  <c r="A20" i="23"/>
  <c r="A15" i="24"/>
  <c r="A15" i="15" s="1"/>
  <c r="J64" i="2"/>
  <c r="A61" i="24"/>
  <c r="A67" i="23"/>
  <c r="J57" i="2"/>
  <c r="A54" i="24"/>
  <c r="A60" i="23"/>
  <c r="J22" i="2"/>
  <c r="A19" i="24"/>
  <c r="A19" i="15" s="1"/>
  <c r="A24" i="23"/>
  <c r="J29" i="2"/>
  <c r="A31" i="23"/>
  <c r="A26" i="24"/>
  <c r="A26" i="15" s="1"/>
  <c r="J11" i="2"/>
  <c r="A8" i="24"/>
  <c r="A8" i="15" s="1"/>
  <c r="A13" i="23"/>
  <c r="J16" i="2"/>
  <c r="A18" i="23"/>
  <c r="A13" i="24"/>
  <c r="A13" i="15" s="1"/>
  <c r="J44" i="2"/>
  <c r="A41" i="24"/>
  <c r="A41" i="15" s="1"/>
  <c r="A46" i="23"/>
  <c r="J19" i="2"/>
  <c r="A16" i="24"/>
  <c r="A16" i="15" s="1"/>
  <c r="A21" i="23"/>
  <c r="J41" i="2"/>
  <c r="A38" i="24"/>
  <c r="A38" i="15" s="1"/>
  <c r="A43" i="23"/>
  <c r="J48" i="2"/>
  <c r="A50" i="23"/>
  <c r="A45" i="24"/>
  <c r="A45" i="15" s="1"/>
  <c r="J65" i="2"/>
  <c r="A62" i="24"/>
  <c r="A63" i="15" s="1"/>
  <c r="A68" i="23"/>
  <c r="J23" i="2"/>
  <c r="A20" i="24"/>
  <c r="A20" i="15" s="1"/>
  <c r="A25" i="23"/>
  <c r="J40" i="2"/>
  <c r="A42" i="23"/>
  <c r="A37" i="24"/>
  <c r="A37" i="15" s="1"/>
  <c r="J35" i="2"/>
  <c r="A37" i="23"/>
  <c r="A32" i="24"/>
  <c r="A32" i="15" s="1"/>
  <c r="J45" i="2"/>
  <c r="A47" i="23"/>
  <c r="A42" i="24"/>
  <c r="A42" i="15" s="1"/>
  <c r="J53" i="2"/>
  <c r="A56" i="23"/>
  <c r="A50" i="24"/>
  <c r="A50" i="15" s="1"/>
  <c r="J7" i="2"/>
  <c r="A9" i="23"/>
  <c r="A4" i="24"/>
  <c r="A4" i="15" s="1"/>
  <c r="J24" i="2"/>
  <c r="A21" i="24"/>
  <c r="A21" i="15" s="1"/>
  <c r="A26" i="23"/>
  <c r="J54" i="2"/>
  <c r="A51" i="24"/>
  <c r="A57" i="23"/>
  <c r="J33" i="2"/>
  <c r="A30" i="24"/>
  <c r="A30" i="15" s="1"/>
  <c r="A35" i="23"/>
  <c r="J30" i="2"/>
  <c r="A27" i="24"/>
  <c r="A27" i="15" s="1"/>
  <c r="A32" i="23"/>
  <c r="J46" i="2"/>
  <c r="A48" i="23"/>
  <c r="A43" i="24"/>
  <c r="A43" i="15" s="1"/>
  <c r="J55" i="2"/>
  <c r="A52" i="24"/>
  <c r="A53" i="15" s="1"/>
  <c r="A58" i="23"/>
  <c r="A67" i="17"/>
  <c r="A60" i="17"/>
  <c r="A18" i="17"/>
  <c r="A42" i="17"/>
  <c r="A29" i="17"/>
  <c r="A31" i="17"/>
  <c r="A47" i="17"/>
  <c r="A53" i="17"/>
  <c r="A14" i="17"/>
  <c r="A23" i="17"/>
  <c r="A40" i="17"/>
  <c r="A37" i="17"/>
  <c r="A44" i="17"/>
  <c r="A38" i="17"/>
  <c r="A49" i="17"/>
  <c r="A57" i="17"/>
  <c r="A56" i="17"/>
  <c r="A52" i="17"/>
  <c r="A63" i="17"/>
  <c r="A24" i="17"/>
  <c r="A10" i="17"/>
  <c r="A46" i="17"/>
  <c r="A64" i="17"/>
  <c r="A35" i="17"/>
  <c r="A48" i="17"/>
  <c r="A9" i="17"/>
  <c r="A12" i="17"/>
  <c r="A26" i="17"/>
  <c r="A66" i="17"/>
  <c r="A8" i="17"/>
  <c r="A15" i="17"/>
  <c r="A20" i="17"/>
  <c r="A34" i="17"/>
  <c r="A65" i="17"/>
  <c r="A25" i="17"/>
  <c r="A36" i="17"/>
  <c r="A61" i="17"/>
  <c r="A51" i="17"/>
  <c r="A39" i="17"/>
  <c r="A62" i="17"/>
  <c r="A11" i="17"/>
  <c r="A43" i="17"/>
  <c r="A41" i="17"/>
  <c r="A50" i="17"/>
  <c r="A30" i="17"/>
  <c r="A13" i="17"/>
  <c r="A33" i="17"/>
  <c r="A21" i="17"/>
  <c r="A28" i="17"/>
  <c r="A22" i="17"/>
  <c r="A32" i="17"/>
  <c r="A59" i="17"/>
  <c r="A16" i="17"/>
  <c r="A17" i="17"/>
  <c r="A54" i="17"/>
  <c r="A55" i="17"/>
  <c r="A27" i="17"/>
  <c r="V55" i="2"/>
  <c r="U55" i="2" s="1"/>
  <c r="V54" i="2"/>
  <c r="U54" i="2" s="1"/>
  <c r="V50" i="2"/>
  <c r="U50" i="2" s="1"/>
  <c r="V8" i="2"/>
  <c r="U8" i="2" s="1"/>
  <c r="V44" i="2"/>
  <c r="U44" i="2" s="1"/>
  <c r="V65" i="2"/>
  <c r="U65" i="2" s="1"/>
  <c r="V22" i="2"/>
  <c r="U22" i="2" s="1"/>
  <c r="V27" i="2"/>
  <c r="U27" i="2" s="1"/>
  <c r="V38" i="2"/>
  <c r="U38" i="2" s="1"/>
  <c r="V12" i="2"/>
  <c r="U12" i="2" s="1"/>
  <c r="V58" i="2"/>
  <c r="U58" i="2" s="1"/>
  <c r="V40" i="2"/>
  <c r="U40" i="2" s="1"/>
  <c r="V35" i="2"/>
  <c r="U35" i="2" s="1"/>
  <c r="V47" i="2"/>
  <c r="U47" i="2" s="1"/>
  <c r="V62" i="2"/>
  <c r="U62" i="2" s="1"/>
  <c r="V61" i="2"/>
  <c r="U61" i="2" s="1"/>
  <c r="V21" i="2"/>
  <c r="U21" i="2" s="1"/>
  <c r="V33" i="2"/>
  <c r="U33" i="2" s="1"/>
  <c r="V16" i="2"/>
  <c r="U16" i="2" s="1"/>
  <c r="V45" i="2"/>
  <c r="U45" i="2" s="1"/>
  <c r="V36" i="2"/>
  <c r="U36" i="2" s="1"/>
  <c r="V29" i="2"/>
  <c r="U29" i="2" s="1"/>
  <c r="V51" i="2"/>
  <c r="U51" i="2" s="1"/>
  <c r="V42" i="2"/>
  <c r="U42" i="2" s="1"/>
  <c r="T60" i="2"/>
  <c r="V60" i="2"/>
  <c r="U60" i="2" s="1"/>
  <c r="P18" i="2"/>
  <c r="V18" i="2"/>
  <c r="U18" i="2" s="1"/>
  <c r="T14" i="2"/>
  <c r="V14" i="2"/>
  <c r="U14" i="2" s="1"/>
  <c r="T34" i="2"/>
  <c r="V34" i="2"/>
  <c r="U34" i="2" s="1"/>
  <c r="P13" i="2"/>
  <c r="V13" i="2"/>
  <c r="U13" i="2" s="1"/>
  <c r="P32" i="2"/>
  <c r="V32" i="2"/>
  <c r="U32" i="2" s="1"/>
  <c r="T39" i="2"/>
  <c r="V39" i="2"/>
  <c r="U39" i="2" s="1"/>
  <c r="T48" i="2"/>
  <c r="V48" i="2"/>
  <c r="U48" i="2" s="1"/>
  <c r="T26" i="2"/>
  <c r="V26" i="2"/>
  <c r="U26" i="2" s="1"/>
  <c r="T57" i="2"/>
  <c r="V57" i="2"/>
  <c r="U57" i="2" s="1"/>
  <c r="P64" i="2"/>
  <c r="V64" i="2"/>
  <c r="U64" i="2" s="1"/>
  <c r="T11" i="2"/>
  <c r="V11" i="2"/>
  <c r="U11" i="2" s="1"/>
  <c r="T9" i="2"/>
  <c r="V9" i="2"/>
  <c r="U9" i="2" s="1"/>
  <c r="T41" i="2"/>
  <c r="V41" i="2"/>
  <c r="U41" i="2" s="1"/>
  <c r="T20" i="2"/>
  <c r="V20" i="2"/>
  <c r="U20" i="2" s="1"/>
  <c r="P53" i="2"/>
  <c r="B55" i="23" s="1"/>
  <c r="C55" i="23" s="1"/>
  <c r="V53" i="2"/>
  <c r="U53" i="2" s="1"/>
  <c r="T25" i="2"/>
  <c r="V25" i="2"/>
  <c r="U25" i="2" s="1"/>
  <c r="T23" i="2"/>
  <c r="V23" i="2"/>
  <c r="U23" i="2" s="1"/>
  <c r="P6" i="2"/>
  <c r="V6" i="2"/>
  <c r="U6" i="2" s="1"/>
  <c r="P30" i="2"/>
  <c r="V30" i="2"/>
  <c r="U30" i="2" s="1"/>
  <c r="P52" i="2"/>
  <c r="V52" i="2"/>
  <c r="U52" i="2" s="1"/>
  <c r="P15" i="2"/>
  <c r="V15" i="2"/>
  <c r="U15" i="2" s="1"/>
  <c r="T59" i="2"/>
  <c r="V59" i="2"/>
  <c r="U59" i="2" s="1"/>
  <c r="T28" i="2"/>
  <c r="V28" i="2"/>
  <c r="U28" i="2" s="1"/>
  <c r="P49" i="2"/>
  <c r="V49" i="2"/>
  <c r="U49" i="2" s="1"/>
  <c r="P63" i="2"/>
  <c r="V63" i="2"/>
  <c r="U63" i="2" s="1"/>
  <c r="T46" i="2"/>
  <c r="V46" i="2"/>
  <c r="U46" i="2" s="1"/>
  <c r="T37" i="2"/>
  <c r="V37" i="2"/>
  <c r="U37" i="2" s="1"/>
  <c r="P10" i="2"/>
  <c r="V10" i="2"/>
  <c r="U10" i="2" s="1"/>
  <c r="P7" i="2"/>
  <c r="V7" i="2"/>
  <c r="T31" i="2"/>
  <c r="V31" i="2"/>
  <c r="U31" i="2" s="1"/>
  <c r="T19" i="2"/>
  <c r="V19" i="2"/>
  <c r="U19" i="2" s="1"/>
  <c r="T24" i="2"/>
  <c r="V24" i="2"/>
  <c r="U24" i="2" s="1"/>
  <c r="P28" i="2"/>
  <c r="P50" i="2"/>
  <c r="P8" i="2"/>
  <c r="P39" i="2"/>
  <c r="P46" i="2"/>
  <c r="P33" i="2"/>
  <c r="P20" i="2"/>
  <c r="P31" i="2"/>
  <c r="P65" i="2"/>
  <c r="P25" i="2"/>
  <c r="P58" i="2"/>
  <c r="P16" i="2"/>
  <c r="P38" i="2"/>
  <c r="P12" i="2"/>
  <c r="P59" i="2"/>
  <c r="P57" i="2"/>
  <c r="P23" i="2"/>
  <c r="P19" i="2"/>
  <c r="P61" i="2"/>
  <c r="P44" i="2"/>
  <c r="P40" i="2"/>
  <c r="P36" i="2"/>
  <c r="P21" i="2"/>
  <c r="P60" i="2"/>
  <c r="P35" i="2"/>
  <c r="P29" i="2"/>
  <c r="P11" i="2"/>
  <c r="P42" i="2"/>
  <c r="P55" i="2"/>
  <c r="P51" i="2"/>
  <c r="P27" i="2"/>
  <c r="P34" i="2"/>
  <c r="P37" i="2"/>
  <c r="P24" i="2"/>
  <c r="P62" i="2"/>
  <c r="P14" i="2"/>
  <c r="P41" i="2"/>
  <c r="P54" i="2"/>
  <c r="P9" i="2"/>
  <c r="P45" i="2"/>
  <c r="P47" i="2"/>
  <c r="P48" i="2"/>
  <c r="P26" i="2"/>
  <c r="P22" i="2"/>
  <c r="T45" i="2"/>
  <c r="T29" i="2"/>
  <c r="T40" i="2"/>
  <c r="T27" i="2"/>
  <c r="T65" i="2"/>
  <c r="T50" i="2"/>
  <c r="T36" i="2"/>
  <c r="T55" i="2"/>
  <c r="T12" i="2"/>
  <c r="T21" i="2"/>
  <c r="T16" i="2"/>
  <c r="T38" i="2"/>
  <c r="T47" i="2"/>
  <c r="T42" i="2"/>
  <c r="T58" i="2"/>
  <c r="T54" i="2"/>
  <c r="T35" i="2"/>
  <c r="T44" i="2"/>
  <c r="T33" i="2"/>
  <c r="T6" i="2"/>
  <c r="T18" i="2"/>
  <c r="T22" i="2"/>
  <c r="T61" i="2"/>
  <c r="T32" i="2"/>
  <c r="T51" i="2"/>
  <c r="T7" i="2"/>
  <c r="T13" i="2"/>
  <c r="T8" i="2"/>
  <c r="T62" i="2"/>
  <c r="T53" i="2"/>
  <c r="T63" i="2"/>
  <c r="T49" i="2"/>
  <c r="T10" i="2"/>
  <c r="T15" i="2"/>
  <c r="T30" i="2"/>
  <c r="T64" i="2"/>
  <c r="T52" i="2"/>
  <c r="A62" i="15" l="1"/>
  <c r="A60" i="15"/>
  <c r="A56" i="15"/>
  <c r="A61" i="15"/>
  <c r="A59" i="15"/>
  <c r="A58" i="15"/>
  <c r="A57" i="15"/>
  <c r="A55" i="15"/>
  <c r="A54" i="15"/>
  <c r="A52" i="15"/>
  <c r="A51" i="15"/>
  <c r="R3" i="22"/>
  <c r="B41" i="17"/>
  <c r="C41" i="17" s="1"/>
  <c r="B41" i="23"/>
  <c r="C41" i="23" s="1"/>
  <c r="B36" i="24"/>
  <c r="B36" i="15" s="1"/>
  <c r="B28" i="17"/>
  <c r="C28" i="17" s="1"/>
  <c r="B28" i="23"/>
  <c r="C28" i="23" s="1"/>
  <c r="B23" i="24"/>
  <c r="B23" i="15" s="1"/>
  <c r="B38" i="17"/>
  <c r="C38" i="17" s="1"/>
  <c r="B33" i="24"/>
  <c r="B33" i="15" s="1"/>
  <c r="B38" i="23"/>
  <c r="C38" i="23" s="1"/>
  <c r="B57" i="17"/>
  <c r="C57" i="17" s="1"/>
  <c r="B52" i="24"/>
  <c r="B53" i="15" s="1"/>
  <c r="B58" i="23"/>
  <c r="C58" i="23" s="1"/>
  <c r="B66" i="17"/>
  <c r="C66" i="17" s="1"/>
  <c r="B67" i="23"/>
  <c r="C67" i="23" s="1"/>
  <c r="B61" i="24"/>
  <c r="B22" i="17"/>
  <c r="C22" i="17" s="1"/>
  <c r="B17" i="24"/>
  <c r="B17" i="15" s="1"/>
  <c r="B22" i="23"/>
  <c r="C22" i="23" s="1"/>
  <c r="B65" i="17"/>
  <c r="C65" i="17" s="1"/>
  <c r="B60" i="24"/>
  <c r="B66" i="23"/>
  <c r="C66" i="23" s="1"/>
  <c r="B44" i="17"/>
  <c r="C44" i="17" s="1"/>
  <c r="B39" i="24"/>
  <c r="B39" i="15" s="1"/>
  <c r="B44" i="23"/>
  <c r="C44" i="23" s="1"/>
  <c r="B35" i="17"/>
  <c r="C35" i="17" s="1"/>
  <c r="B30" i="24"/>
  <c r="B30" i="15" s="1"/>
  <c r="B35" i="23"/>
  <c r="C35" i="23" s="1"/>
  <c r="B13" i="17"/>
  <c r="C13" i="17" s="1"/>
  <c r="B8" i="24"/>
  <c r="B8" i="15" s="1"/>
  <c r="B13" i="23"/>
  <c r="C13" i="23" s="1"/>
  <c r="B48" i="17"/>
  <c r="C48" i="17" s="1"/>
  <c r="B48" i="23"/>
  <c r="C48" i="23" s="1"/>
  <c r="B43" i="24"/>
  <c r="B43" i="15" s="1"/>
  <c r="B51" i="17"/>
  <c r="C51" i="17" s="1"/>
  <c r="B51" i="23"/>
  <c r="C51" i="23" s="1"/>
  <c r="B46" i="24"/>
  <c r="B46" i="15" s="1"/>
  <c r="B37" i="17"/>
  <c r="C37" i="17" s="1"/>
  <c r="B37" i="23"/>
  <c r="C37" i="23" s="1"/>
  <c r="B32" i="24"/>
  <c r="B32" i="15" s="1"/>
  <c r="B10" i="17"/>
  <c r="C10" i="17" s="1"/>
  <c r="B5" i="24"/>
  <c r="B5" i="15" s="1"/>
  <c r="B10" i="23"/>
  <c r="C10" i="23" s="1"/>
  <c r="B20" i="17"/>
  <c r="C20" i="17" s="1"/>
  <c r="B20" i="23"/>
  <c r="C20" i="23" s="1"/>
  <c r="B15" i="24"/>
  <c r="B15" i="15" s="1"/>
  <c r="B62" i="17"/>
  <c r="C62" i="17" s="1"/>
  <c r="B63" i="23"/>
  <c r="C63" i="23" s="1"/>
  <c r="B57" i="24"/>
  <c r="B52" i="17"/>
  <c r="C52" i="17" s="1"/>
  <c r="B52" i="23"/>
  <c r="C52" i="23" s="1"/>
  <c r="B47" i="24"/>
  <c r="B47" i="15" s="1"/>
  <c r="B24" i="17"/>
  <c r="C24" i="17" s="1"/>
  <c r="B19" i="24"/>
  <c r="B19" i="15" s="1"/>
  <c r="B24" i="23"/>
  <c r="C24" i="23" s="1"/>
  <c r="B23" i="17"/>
  <c r="C23" i="17" s="1"/>
  <c r="B18" i="24"/>
  <c r="B18" i="15" s="1"/>
  <c r="B23" i="23"/>
  <c r="C23" i="23" s="1"/>
  <c r="B30" i="17"/>
  <c r="C30" i="17" s="1"/>
  <c r="B30" i="23"/>
  <c r="C30" i="23" s="1"/>
  <c r="B25" i="24"/>
  <c r="B25" i="15" s="1"/>
  <c r="B54" i="17"/>
  <c r="C54" i="17" s="1"/>
  <c r="B49" i="24"/>
  <c r="B49" i="15" s="1"/>
  <c r="B54" i="23"/>
  <c r="C54" i="23" s="1"/>
  <c r="B31" i="17"/>
  <c r="C31" i="17" s="1"/>
  <c r="B31" i="23"/>
  <c r="C31" i="23" s="1"/>
  <c r="B26" i="24"/>
  <c r="B26" i="15" s="1"/>
  <c r="B49" i="17"/>
  <c r="C49" i="17" s="1"/>
  <c r="B44" i="24"/>
  <c r="B44" i="15" s="1"/>
  <c r="B49" i="23"/>
  <c r="C49" i="23" s="1"/>
  <c r="B11" i="17"/>
  <c r="C11" i="17" s="1"/>
  <c r="B11" i="23"/>
  <c r="C11" i="23" s="1"/>
  <c r="B6" i="24"/>
  <c r="B6" i="15" s="1"/>
  <c r="B21" i="17"/>
  <c r="C21" i="17" s="1"/>
  <c r="B16" i="24"/>
  <c r="B16" i="15" s="1"/>
  <c r="B21" i="23"/>
  <c r="C21" i="23" s="1"/>
  <c r="B56" i="17"/>
  <c r="C56" i="17" s="1"/>
  <c r="B51" i="24"/>
  <c r="B57" i="23"/>
  <c r="C57" i="23" s="1"/>
  <c r="B25" i="17"/>
  <c r="C25" i="17" s="1"/>
  <c r="B20" i="24"/>
  <c r="B20" i="15" s="1"/>
  <c r="B25" i="23"/>
  <c r="C25" i="23" s="1"/>
  <c r="B32" i="17"/>
  <c r="C32" i="17" s="1"/>
  <c r="B27" i="24"/>
  <c r="B27" i="15" s="1"/>
  <c r="B32" i="23"/>
  <c r="C32" i="23" s="1"/>
  <c r="B42" i="17"/>
  <c r="C42" i="17" s="1"/>
  <c r="B42" i="23"/>
  <c r="C42" i="23" s="1"/>
  <c r="B37" i="24"/>
  <c r="B37" i="15" s="1"/>
  <c r="B46" i="17"/>
  <c r="C46" i="17" s="1"/>
  <c r="B41" i="24"/>
  <c r="B41" i="15" s="1"/>
  <c r="B46" i="23"/>
  <c r="C46" i="23" s="1"/>
  <c r="B64" i="17"/>
  <c r="C64" i="17" s="1"/>
  <c r="B59" i="24"/>
  <c r="B65" i="23"/>
  <c r="C65" i="23" s="1"/>
  <c r="B14" i="17"/>
  <c r="C14" i="17" s="1"/>
  <c r="B9" i="24"/>
  <c r="B9" i="15" s="1"/>
  <c r="B14" i="23"/>
  <c r="C14" i="23" s="1"/>
  <c r="B26" i="17"/>
  <c r="C26" i="17" s="1"/>
  <c r="B21" i="24"/>
  <c r="B21" i="15" s="1"/>
  <c r="B26" i="23"/>
  <c r="C26" i="23" s="1"/>
  <c r="B40" i="17"/>
  <c r="C40" i="17" s="1"/>
  <c r="B35" i="24"/>
  <c r="B35" i="15" s="1"/>
  <c r="B40" i="23"/>
  <c r="C40" i="23" s="1"/>
  <c r="B12" i="17"/>
  <c r="C12" i="17" s="1"/>
  <c r="B12" i="23"/>
  <c r="C12" i="23" s="1"/>
  <c r="B7" i="24"/>
  <c r="B7" i="15" s="1"/>
  <c r="B39" i="17"/>
  <c r="C39" i="17" s="1"/>
  <c r="B39" i="23"/>
  <c r="C39" i="23" s="1"/>
  <c r="B34" i="24"/>
  <c r="B34" i="15" s="1"/>
  <c r="B18" i="17"/>
  <c r="C18" i="17" s="1"/>
  <c r="B18" i="23"/>
  <c r="C18" i="23" s="1"/>
  <c r="B13" i="24"/>
  <c r="B13" i="15" s="1"/>
  <c r="B17" i="17"/>
  <c r="C17" i="17" s="1"/>
  <c r="B17" i="23"/>
  <c r="C17" i="23" s="1"/>
  <c r="B12" i="24"/>
  <c r="B12" i="15" s="1"/>
  <c r="B43" i="17"/>
  <c r="C43" i="17" s="1"/>
  <c r="B38" i="24"/>
  <c r="B38" i="15" s="1"/>
  <c r="B43" i="23"/>
  <c r="C43" i="23" s="1"/>
  <c r="B59" i="17"/>
  <c r="C59" i="17" s="1"/>
  <c r="B54" i="24"/>
  <c r="B60" i="23"/>
  <c r="C60" i="23" s="1"/>
  <c r="B16" i="17"/>
  <c r="C16" i="17" s="1"/>
  <c r="B11" i="24"/>
  <c r="B11" i="15" s="1"/>
  <c r="B16" i="23"/>
  <c r="C16" i="23" s="1"/>
  <c r="B61" i="17"/>
  <c r="C61" i="17" s="1"/>
  <c r="B62" i="23"/>
  <c r="C62" i="23" s="1"/>
  <c r="B56" i="24"/>
  <c r="B9" i="17"/>
  <c r="C9" i="17" s="1"/>
  <c r="B9" i="23"/>
  <c r="C9" i="23" s="1"/>
  <c r="B4" i="24"/>
  <c r="B4" i="15" s="1"/>
  <c r="B8" i="23"/>
  <c r="C8" i="23" s="1"/>
  <c r="B3" i="24"/>
  <c r="B3" i="15" s="1"/>
  <c r="B36" i="17"/>
  <c r="C36" i="17" s="1"/>
  <c r="B31" i="24"/>
  <c r="B31" i="15" s="1"/>
  <c r="B36" i="23"/>
  <c r="C36" i="23" s="1"/>
  <c r="B60" i="17"/>
  <c r="C60" i="17" s="1"/>
  <c r="B61" i="23"/>
  <c r="C61" i="23" s="1"/>
  <c r="B55" i="24"/>
  <c r="B34" i="17"/>
  <c r="C34" i="17" s="1"/>
  <c r="B34" i="23"/>
  <c r="C34" i="23" s="1"/>
  <c r="B29" i="24"/>
  <c r="B29" i="15" s="1"/>
  <c r="B47" i="17"/>
  <c r="C47" i="17" s="1"/>
  <c r="B42" i="24"/>
  <c r="B42" i="15" s="1"/>
  <c r="B47" i="23"/>
  <c r="C47" i="23" s="1"/>
  <c r="B29" i="17"/>
  <c r="C29" i="17" s="1"/>
  <c r="B29" i="23"/>
  <c r="C29" i="23" s="1"/>
  <c r="B24" i="24"/>
  <c r="B24" i="15" s="1"/>
  <c r="B27" i="17"/>
  <c r="C27" i="17" s="1"/>
  <c r="B22" i="24"/>
  <c r="B22" i="15" s="1"/>
  <c r="B27" i="23"/>
  <c r="C27" i="23" s="1"/>
  <c r="B15" i="17"/>
  <c r="C15" i="17" s="1"/>
  <c r="B15" i="23"/>
  <c r="C15" i="23" s="1"/>
  <c r="B10" i="24"/>
  <c r="B10" i="15" s="1"/>
  <c r="B50" i="17"/>
  <c r="C50" i="17" s="1"/>
  <c r="B50" i="23"/>
  <c r="C50" i="23" s="1"/>
  <c r="B45" i="24"/>
  <c r="B45" i="15" s="1"/>
  <c r="B63" i="17"/>
  <c r="C63" i="17" s="1"/>
  <c r="B64" i="23"/>
  <c r="C64" i="23" s="1"/>
  <c r="B58" i="24"/>
  <c r="B53" i="17"/>
  <c r="C53" i="17" s="1"/>
  <c r="B53" i="23"/>
  <c r="C53" i="23" s="1"/>
  <c r="B48" i="24"/>
  <c r="B48" i="15" s="1"/>
  <c r="B67" i="17"/>
  <c r="C67" i="17" s="1"/>
  <c r="B62" i="24"/>
  <c r="B63" i="15" s="1"/>
  <c r="B68" i="23"/>
  <c r="C68" i="23" s="1"/>
  <c r="B55" i="17"/>
  <c r="C55" i="17" s="1"/>
  <c r="B56" i="23"/>
  <c r="C56" i="23" s="1"/>
  <c r="B50" i="24"/>
  <c r="B50" i="15" s="1"/>
  <c r="B33" i="17"/>
  <c r="C33" i="17" s="1"/>
  <c r="B28" i="24"/>
  <c r="B28" i="15" s="1"/>
  <c r="B33" i="23"/>
  <c r="C33" i="23" s="1"/>
  <c r="O9" i="9"/>
  <c r="O12" i="9" s="1"/>
  <c r="G10" i="9" s="1"/>
  <c r="G9" i="19" s="1"/>
  <c r="U7" i="2"/>
  <c r="E47" i="9" s="1"/>
  <c r="N9" i="9"/>
  <c r="N12" i="9" s="1"/>
  <c r="F10" i="9" s="1"/>
  <c r="H9" i="19" s="1"/>
  <c r="B8" i="17"/>
  <c r="C8" i="17" s="1"/>
  <c r="E48" i="9"/>
  <c r="H8" i="19"/>
  <c r="G8" i="19"/>
  <c r="H7" i="19"/>
  <c r="G7" i="19"/>
  <c r="G7" i="9"/>
  <c r="G6" i="19" s="1"/>
  <c r="F7" i="9"/>
  <c r="H6" i="19" s="1"/>
  <c r="B60" i="15" l="1"/>
  <c r="B61" i="15"/>
  <c r="B56" i="15"/>
  <c r="B52" i="15"/>
  <c r="B59" i="15"/>
  <c r="B55" i="15"/>
  <c r="B54" i="15"/>
  <c r="B58" i="15"/>
  <c r="B57" i="15"/>
  <c r="B62" i="15"/>
  <c r="B51" i="15"/>
  <c r="E49" i="9"/>
  <c r="D9" i="9"/>
  <c r="E8" i="19" s="1"/>
  <c r="E7" i="9"/>
  <c r="F6" i="19" s="1"/>
  <c r="D10" i="9"/>
  <c r="E9" i="19" s="1"/>
  <c r="D8" i="9"/>
  <c r="E7" i="19" s="1"/>
  <c r="D7" i="9"/>
  <c r="E6" i="19" s="1"/>
  <c r="E8" i="9"/>
  <c r="F7" i="19" s="1"/>
  <c r="E10" i="9"/>
  <c r="F9" i="19" s="1"/>
  <c r="E9" i="9"/>
  <c r="F8" i="19" s="1"/>
  <c r="H7" i="9"/>
  <c r="H10" i="9"/>
  <c r="H8" i="9"/>
  <c r="H9" i="9"/>
  <c r="I14" i="19" l="1"/>
  <c r="C51" i="9"/>
  <c r="D14" i="19" s="1"/>
  <c r="I10" i="9"/>
  <c r="D9" i="19" s="1"/>
  <c r="I8" i="9"/>
  <c r="D7" i="19" s="1"/>
  <c r="I9" i="9"/>
  <c r="D8" i="19" s="1"/>
  <c r="I7" i="9"/>
  <c r="D6" i="19" s="1"/>
  <c r="R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5A5845EF-CCBC-47C4-A118-EC89280FF774}">
      <text>
        <r>
          <rPr>
            <sz val="9"/>
            <color indexed="81"/>
            <rFont val="Tahoma"/>
            <family val="2"/>
          </rPr>
          <t xml:space="preserve">
Kuuluuko kysymys vastaajan laitoksen kokoluokkaan?</t>
        </r>
      </text>
    </comment>
    <comment ref="D4" authorId="0" shapeId="0" xr:uid="{21539197-7B9C-4FC9-A163-CF01AB263E37}">
      <text>
        <r>
          <rPr>
            <sz val="9"/>
            <color indexed="81"/>
            <rFont val="Tahoma"/>
            <family val="2"/>
          </rPr>
          <t xml:space="preserve">
Kuuluuko vastaaja toimialaan 
A (Talousveden valmistus): 
K(yllä) vai E(i)</t>
        </r>
      </text>
    </comment>
    <comment ref="E4" authorId="0" shapeId="0" xr:uid="{C566D0BB-CD36-450C-B9C5-6A55CEA035BD}">
      <text>
        <r>
          <rPr>
            <sz val="9"/>
            <color indexed="81"/>
            <rFont val="Tahoma"/>
            <family val="2"/>
          </rPr>
          <t xml:space="preserve">
Kuuluuko vastaaja toimialaan 
B (Talousveden jakelu): 
K(yllä) vai E(i)</t>
        </r>
      </text>
    </comment>
    <comment ref="F4" authorId="0" shapeId="0" xr:uid="{659DB834-AD75-45F4-B23E-D8065EE12F29}">
      <text>
        <r>
          <rPr>
            <sz val="9"/>
            <color indexed="81"/>
            <rFont val="Tahoma"/>
            <family val="2"/>
          </rPr>
          <t xml:space="preserve">
Kuuluuko vastaaja toimialaan 
C (Jätevesien viemäröinti): 
K(yllä) vai E(i)</t>
        </r>
      </text>
    </comment>
    <comment ref="G4" authorId="0" shapeId="0" xr:uid="{D17A5D17-18C9-4C4C-BC6B-5E52E9A495A5}">
      <text>
        <r>
          <rPr>
            <sz val="9"/>
            <color indexed="81"/>
            <rFont val="Tahoma"/>
            <family val="2"/>
          </rPr>
          <t xml:space="preserve">
Kuuluuko vastaaja toimialaan 
D (Jätevesien käsittely): 
K(yllä) vai E(i)</t>
        </r>
      </text>
    </comment>
    <comment ref="H4" authorId="0" shapeId="0" xr:uid="{FF4B826F-353A-45F9-9D74-AC6388D21D8F}">
      <text>
        <r>
          <rPr>
            <sz val="9"/>
            <color indexed="81"/>
            <rFont val="Tahoma"/>
            <family val="2"/>
          </rPr>
          <t>Tarkastaa kuuluuko kysymys vastaajan valitsemaan 
toimialaan?</t>
        </r>
      </text>
    </comment>
    <comment ref="I4" authorId="0" shapeId="0" xr:uid="{FAE075D5-841C-4E15-B5AE-52F89019C927}">
      <text>
        <r>
          <rPr>
            <sz val="9"/>
            <color indexed="81"/>
            <rFont val="Tahoma"/>
            <family val="2"/>
          </rPr>
          <t xml:space="preserve">
Tarkistaa, kuuluuko kriteeri vastaajan toimialaan JA kokoluokkaan. Jos ei -&gt; tämän avulla voi rajata turhat kriteerit pois näkymästä.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6941F647-B527-469C-8EDC-71770ED9286A}">
      <text>
        <r>
          <rPr>
            <sz val="9"/>
            <color indexed="81"/>
            <rFont val="Tahoma"/>
            <family val="2"/>
          </rPr>
          <t xml:space="preserve">
Kuuluuko kysymys vastaajan laitoksen kokoluokkaan?</t>
        </r>
      </text>
    </comment>
    <comment ref="D4" authorId="0" shapeId="0" xr:uid="{0353CE32-9662-408F-B03E-8CF3AC0DD64A}">
      <text>
        <r>
          <rPr>
            <sz val="9"/>
            <color indexed="81"/>
            <rFont val="Tahoma"/>
            <family val="2"/>
          </rPr>
          <t xml:space="preserve">
Kuuluuko vastaaja toimialaan 
A (Talousveden valmistus): 
K(yllä) vai E(i)</t>
        </r>
      </text>
    </comment>
    <comment ref="E4" authorId="0" shapeId="0" xr:uid="{C6FDBAB5-B28E-4845-BAC1-F0C00E940530}">
      <text>
        <r>
          <rPr>
            <sz val="9"/>
            <color indexed="81"/>
            <rFont val="Tahoma"/>
            <family val="2"/>
          </rPr>
          <t xml:space="preserve">
Kuuluuko vastaaja toimialaan 
B (Talousveden jakelu): 
K(yllä) vai E(i)</t>
        </r>
      </text>
    </comment>
    <comment ref="F4" authorId="0" shapeId="0" xr:uid="{A984F483-524E-47BF-8A8B-D95645ACAD56}">
      <text>
        <r>
          <rPr>
            <sz val="9"/>
            <color indexed="81"/>
            <rFont val="Tahoma"/>
            <family val="2"/>
          </rPr>
          <t xml:space="preserve">
Kuuluuko vastaaja toimialaan 
C (Jätevesien viemäröinti): 
K(yllä) vai E(i)</t>
        </r>
      </text>
    </comment>
    <comment ref="G4" authorId="0" shapeId="0" xr:uid="{61E757D6-6717-4E3F-8D79-B2383B0B4F81}">
      <text>
        <r>
          <rPr>
            <sz val="9"/>
            <color indexed="81"/>
            <rFont val="Tahoma"/>
            <family val="2"/>
          </rPr>
          <t xml:space="preserve">
Kuuluuko vastaaja toimialaan 
D (Jätevesien käsittely): 
K(yllä) vai E(i)</t>
        </r>
      </text>
    </comment>
    <comment ref="H4" authorId="0" shapeId="0" xr:uid="{5DFE5A91-4741-45A1-AAC6-6984CC37EDBE}">
      <text>
        <r>
          <rPr>
            <sz val="9"/>
            <color indexed="81"/>
            <rFont val="Tahoma"/>
            <family val="2"/>
          </rPr>
          <t>Tarkastaa kuuluuko kysymys vastaajan valitsemaan 
toimialaan?</t>
        </r>
      </text>
    </comment>
    <comment ref="I4" authorId="0" shapeId="0" xr:uid="{1D406279-35FD-4D61-8B34-BF4E60F78178}">
      <text>
        <r>
          <rPr>
            <sz val="9"/>
            <color indexed="81"/>
            <rFont val="Tahoma"/>
            <family val="2"/>
          </rPr>
          <t xml:space="preserve">
Tarkistaa, kuuluuko kriteeri vastaajan toimialaan JA kokoluokkaan. Jos ei -&gt; tämän avulla voi rajata turhat kriteerit pois näkymästä.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 authorId="0" shapeId="0" xr:uid="{A3A5FC46-6AB7-4EAC-9509-C941A59D1F90}">
      <text>
        <r>
          <rPr>
            <sz val="9"/>
            <color indexed="81"/>
            <rFont val="Tahoma"/>
            <family val="2"/>
          </rPr>
          <t xml:space="preserve">
Kuuluuko kysymys vastaajan laitoksen kokoluokkaan?</t>
        </r>
      </text>
    </comment>
    <comment ref="D4" authorId="0" shapeId="0" xr:uid="{B20C4C21-FBED-44A7-9510-7B4DDE46DDC7}">
      <text>
        <r>
          <rPr>
            <sz val="9"/>
            <color indexed="81"/>
            <rFont val="Tahoma"/>
            <family val="2"/>
          </rPr>
          <t xml:space="preserve">
Kuuluuko vastaaja toimialaan 
A (Talousveden valmistus): 
K(yllä) vai E(i)</t>
        </r>
      </text>
    </comment>
    <comment ref="E4" authorId="0" shapeId="0" xr:uid="{3A78F25E-23DD-42F2-A89C-B7B7746AA066}">
      <text>
        <r>
          <rPr>
            <sz val="9"/>
            <color indexed="81"/>
            <rFont val="Tahoma"/>
            <family val="2"/>
          </rPr>
          <t xml:space="preserve">
Kuuluuko vastaaja toimialaan 
B (Talousveden jakelu): 
K(yllä) vai E(i)</t>
        </r>
      </text>
    </comment>
    <comment ref="F4" authorId="0" shapeId="0" xr:uid="{6CC290A0-B233-433C-9BDD-2399A0F3084E}">
      <text>
        <r>
          <rPr>
            <sz val="9"/>
            <color indexed="81"/>
            <rFont val="Tahoma"/>
            <family val="2"/>
          </rPr>
          <t xml:space="preserve">
Kuuluuko vastaaja toimialaan 
C (Jätevesien viemäröinti): 
K(yllä) vai E(i)</t>
        </r>
      </text>
    </comment>
    <comment ref="G4" authorId="0" shapeId="0" xr:uid="{DA6ED1B4-1CE0-44E5-A0B9-B8A478F9BA44}">
      <text>
        <r>
          <rPr>
            <sz val="9"/>
            <color indexed="81"/>
            <rFont val="Tahoma"/>
            <family val="2"/>
          </rPr>
          <t xml:space="preserve">
Kuuluuko vastaaja toimialaan 
D (Jätevesien käsittely): 
K(yllä) vai E(i)</t>
        </r>
      </text>
    </comment>
    <comment ref="H4" authorId="0" shapeId="0" xr:uid="{24BD4DF4-84F1-4F08-9734-87781510AFC8}">
      <text>
        <r>
          <rPr>
            <sz val="9"/>
            <color indexed="81"/>
            <rFont val="Tahoma"/>
            <family val="2"/>
          </rPr>
          <t>Tarkastaa kuuluuko kysymys vastaajan valitsemaan 
toimialaan?</t>
        </r>
      </text>
    </comment>
    <comment ref="I4" authorId="0" shapeId="0" xr:uid="{EA1C1823-4FE5-4CBE-9B64-7533A1CB995C}">
      <text>
        <r>
          <rPr>
            <sz val="9"/>
            <color indexed="81"/>
            <rFont val="Tahoma"/>
            <family val="2"/>
          </rPr>
          <t xml:space="preserve">
Tarkistaa, kuuluuko kriteeri vastaajan toimialaan JA kokoluokkaan. Jos ei -&gt; tämän avulla voi rajata turhat kriteerit pois näkymästä. </t>
        </r>
      </text>
    </comment>
  </commentList>
</comments>
</file>

<file path=xl/sharedStrings.xml><?xml version="1.0" encoding="utf-8"?>
<sst xmlns="http://schemas.openxmlformats.org/spreadsheetml/2006/main" count="1765" uniqueCount="279">
  <si>
    <t>Luokka</t>
  </si>
  <si>
    <t>Pääkategoria</t>
  </si>
  <si>
    <t>Kategoria</t>
  </si>
  <si>
    <t>Teksti</t>
  </si>
  <si>
    <t>Toimiala</t>
  </si>
  <si>
    <t>Huoltovarmuus</t>
  </si>
  <si>
    <t xml:space="preserve">1,2,3,4 </t>
  </si>
  <si>
    <t>Turvallinen ja toimintavarma</t>
  </si>
  <si>
    <t>1. Laadukas, raakaveden laadun huomioiva, kriteerit täyttävä vedenkäsittelyprosessi</t>
  </si>
  <si>
    <t>1.1 Vesilaitoksella on valmius aloittaa tai järjestää klooridesinfiointi 6 h sisällä talousvesiasetuksen (1352/2015) 20 a pykälän edellyttämällä tavalla.</t>
  </si>
  <si>
    <t>A,B</t>
  </si>
  <si>
    <t>x</t>
  </si>
  <si>
    <t>1,2,3,4</t>
  </si>
  <si>
    <t>1.2 Klooridesinfiointia testataan säännöllisesti.</t>
  </si>
  <si>
    <t>1.3 Laatuvaatimukset täyttävä vedenlaatu (100 % näytteistä)</t>
  </si>
  <si>
    <t>1.4 Laatutavoitteet täyttävä vedenlaatu (100 % näytteistä)</t>
  </si>
  <si>
    <t>1.5 Vesijohtoverkoston paineettomissa putkirikkokorjauksissa rikkoutunut putkilinjaosuus desinfioidaan tai varmistetaan verkoston mikrobiologinen puhtaus tutkimuksin ennen käyttöönottoa.</t>
  </si>
  <si>
    <t>B</t>
  </si>
  <si>
    <t>1.6 Vedenjakeluverkoston näytteenottopisteiden edustavuus valvontatutkimusohjelmassa on säännöllisesti varmistettu alueelliset erityispiirteet ja WSP:n tulokset huomioon ottaen.</t>
  </si>
  <si>
    <t>2,3,4</t>
  </si>
  <si>
    <t>1.7 Talousvesi desinfioidaan jatkuvatoimisesti ennen johtamista vedenjakeluverkostoon tai vesihuoltolaitos on tehnyt riskiarvion, jonka perusteella jatkuvatoimiselle talousveden desinfioinnille ei ole tarvetta</t>
  </si>
  <si>
    <t>A</t>
  </si>
  <si>
    <t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t>
  </si>
  <si>
    <t>1.9 Talousveden käsittelyprosessin kriittisten toimintojen toimivuutta on varmistettu kahdentamalla (esim. laitteet, vaihtoehtoinen käsittelyprosessi/kemikaali/toimittaja)</t>
  </si>
  <si>
    <t>1.10. Vesilaitoksella on käytössä omassa tai ulkopuolisen hallinnassa oleva verkostomalli vedenjakelun varmistamiseen ja kehittämiseen.</t>
  </si>
  <si>
    <t xml:space="preserve">1.11 Talousveden käsittelyprosessin poistoteho on kemiallisen saastumisen tilanteessa arvioitu ja prosessia voidaan tarvittaessa tehostaa. (esim. aktiivihiilen syöttö) </t>
  </si>
  <si>
    <t>2. Ajantasainen varautumis- ja valmiussuunnittelu ja yhteistyö muiden toimijoiden kanssa</t>
  </si>
  <si>
    <t>2.1 Vesihuoltolaitoksella on vähintään vuosittain arvioitava ja tarvittaessa päivitettävä varautumissuunnitelma</t>
  </si>
  <si>
    <t>A,B,C,D</t>
  </si>
  <si>
    <t>2.2 Talousveden laaturiskejä arvioidaan ja riskienhallintaa kehitetään ja sen toimivuutta seurataan systemaattisesti esim. WSP-työkalun avulla</t>
  </si>
  <si>
    <t>2.3 Viemäröinnin ja jätevedenpuhdistuksen ympäristö- ja terveysriskejä arvioidaan ja riskienhallintaa kehitetään systemaattisesti esim. SSP-työkalun avulla</t>
  </si>
  <si>
    <t>C,D</t>
  </si>
  <si>
    <t>2.4 Vesihuoltolaitoksella on tehty häiriötilanneharjoittelu vuoden sisällä yhdessä sidosryhmien kanssa (tai 3 vuoden sisällä jos ei omaa vedentuotantoa)</t>
  </si>
  <si>
    <t>2.5 Vesihuoltopalvelun jatkuvuuden kannalta kriittiset perustoiminnot (esim. veden hankinta, veden käsittely, viemäröinti, jäteveden käsittely jne.) on tunnistettu.</t>
  </si>
  <si>
    <t>2.6 Varavedenottamot, varavesilaitokset ja/tai varavesiyhteydet ovat joko jatkuvassa käytössä tai niiden toimintavalmius varmistetaan (esim. näytteenotoin ja koekäyttämällä) säännöllisesti vähintään vuosittain.</t>
  </si>
  <si>
    <t>2.7 Vesihuoltolaitos hallitsee riskiperusteisesti ja oikeasuhtaisesti ilmastonmuutoksen toiminnalleen aiheuttamia riskejä.</t>
  </si>
  <si>
    <t xml:space="preserve">2.8 Toiminnan kannalta kriittisimmät automaatio- ja ICT-järjestelmät on tunnistettu ja niiden tietoturvaa hallitaan riskiperusteisesti. </t>
  </si>
  <si>
    <t>2.9 Vesihuoltolaitos pitää henkilöstön VAP-varaukset ajan tasalla.</t>
  </si>
  <si>
    <t>2.10 Häiriötilanteisiin varautumisessa tehdään yhteistyötä viranomaisten, kunnan, materiaalitoimittajien, palveluntarjoajien, asiakkaiden ja muiden sidosryhmien kanssa.</t>
  </si>
  <si>
    <t xml:space="preserve">2.11 Varmuusluokitus on vähintään tasolla II (talousvettä on käytettävissä vähintään 50 l/asukas/vrk, jos pääasiallinen raakavesilähde ei ole käytettävissä). </t>
  </si>
  <si>
    <t>3, 4</t>
  </si>
  <si>
    <t xml:space="preserve">2.11 Varmuusluokitus on tasolla I eli talousvettä on käytettävissä &gt; 120 l/asukas/vrk, jos pääasiallinen raakavesilähde ei ole käytettävissä. </t>
  </si>
  <si>
    <t>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t>
  </si>
  <si>
    <t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t>
  </si>
  <si>
    <t>B,C</t>
  </si>
  <si>
    <t xml:space="preserve">2.14 Varavoimakoneiden käyttöönotto ja toimivuus testataan säännöllisesti. </t>
  </si>
  <si>
    <t>2.15 Vesihuoltolaitos on selvittänyt materiaalisia yhteistyötarpeita ja -mahdollisuuksia muiden vesihuoltolaitosten kanssa. Jos yhteisiä tarpeita ja mahdollisuuksia on havaittu, on tehty yhteistyösopimuksia (esim. varavoima, vedenjakelukalusto, kemikaalit, varaosat).</t>
  </si>
  <si>
    <t>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t>
  </si>
  <si>
    <t>2.17 On selvitetty mahdollisuuksia ja tarvetta vesihuoltolaitosten välisiin olennaisiin normaali/poikkeustilanteen verkostoyhteyksiin ja jos tarve on tunnistettu, on tehty sopimukset, rakennettu yhteydet sekä sovittu käytännöistä.</t>
  </si>
  <si>
    <t>2.18 Vesihuoltolaitoksen kohteiden (esim. kiinteistöjen, toimitilojen) riittävästä fyysisestä turvallisuudesta (lukitus, kulunseuranta, aitaus, valvontakamerat tms.)  on huolehdittu asianmukaisesti ottaen huomioon niiden kriittisyys.</t>
  </si>
  <si>
    <t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t>
  </si>
  <si>
    <t xml:space="preserve">2.20 Vesihuoltolaitoksella on häiriötilanteiden hoitoa varten etukäteen sovittu ja harjoiteltu toimintatapa tilannekuvan kokoamiseen ja ylläpitoon. </t>
  </si>
  <si>
    <t>2.21 Vesihuoltolaitoksella on laadittu toiminnan kannalta kriittisten automaatio- ja ICT-järjestelmien häiriötilanteiden varajärjestelyt ja häiriöistä toipuminen on suunniteltu. Tietoturvaa havainnoidaan.</t>
  </si>
  <si>
    <t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t>
  </si>
  <si>
    <t>2.23 Vesihuoltolaitos pitää tarvitsemiensa ajoneuvojen ja työkoneiden ATV-varaukset ajan tasalla. (Välttämättömien ajoneuvojen ja työkoneiden varaaminen poikkeusoloissa vesihuollon käyttöön)</t>
  </si>
  <si>
    <t>2.24 Automaatio- ja ICT-järjestelmien (OT- ja IT- järjestelmät) tietoturvaa on arvioitu hyödyntäen Kybermittaria tai Kyber-Vesi -hankkeen automaation vaatimuspatteristoa.</t>
  </si>
  <si>
    <t>3. Kriittiset asiakkaat, väliaikainen vedenjakelu ja poikkeustilanteiden viestintä</t>
  </si>
  <si>
    <t xml:space="preserve">3.1 Vesihuoltolaitoksen kriittiset asiakkaat on tunnistettu (määritetty ja luokiteltu) ja dokumentoitu (esim. vesihuoltolaitoksen verkkotietojärjestelmään ja varautumisohjeisiin) </t>
  </si>
  <si>
    <t>3.2 Varavedenjakelukaluston saatavuus ja riittävä kapasiteetti on varmistettu tavanomaisissa (pienivaikutteisissa) vedenjakelun häiriötilanteissa omalla kalustolla ja/tai muuten.</t>
  </si>
  <si>
    <t xml:space="preserve">3.3 Vesihuoltolaitoksen varavedenjakelu (esim. jakelupisteet, kalusto, säiliöt, pullot yms.) on suunniteltu myös laajavaikutteisiin vedenjakelutarpeisiin. </t>
  </si>
  <si>
    <t xml:space="preserve">3.4 Varavedenjakelua on harjoiteltu.  (esim. todellisten tilanteiden myötä) </t>
  </si>
  <si>
    <t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t>
  </si>
  <si>
    <t>3.6 Vesihuoltolaitos seuraa parametria yli 12 h vedentoimituskatkokset (kpl/v, liittyjät/vuosi)</t>
  </si>
  <si>
    <t>3.7 Vesihuoltolaitoksella on valmius ilmoittaa keittokehotuksesta tai muista vedenkäyttöön liittyvistä häiriöistä vedenkäyttäjille tar-koituksenmukaisia viestintäkanavia käyttäen tarvittaessa myös kohdennetusti (esim. laputtamalla, tekstiviestillä).</t>
  </si>
  <si>
    <t>3.8 On suunniteltu ja käyttöönotettavissa vaihtoehtoiset tiedon- ja toiminnanhallinnan sekä sisäisen viestinnän menetelmät, mikäli internet ja/tai normaalit tietoliikenneyhteydet eivät toimi.</t>
  </si>
  <si>
    <t>3.9 Putkirikkojen määrä &lt; 4 kpl/100 km/vuosi</t>
  </si>
  <si>
    <t>3.9 Putkirikkojen määrä &lt; 2 kpl/100 km/vuosi</t>
  </si>
  <si>
    <t>3.10 Laskuttamattoman talousveden osuus &lt; 15 % (1-4)</t>
  </si>
  <si>
    <t>3.11 Erilaisten häiriötilanteiden viestintä on suunniteltu, ohjeistettu ja sitä harjoitellaan. Yhteystiedot pidetään ajan tasalla.</t>
  </si>
  <si>
    <t>3.12 Kriittisten asiakkaiden kanssa on käyty neuvottelu vedensaannin turvaamisesta ja tarpeellisten toimenpiteiden määrittely on tehty esim. erillisellä sopimuksella tai kriittisiä asiakkaita ei ole.</t>
  </si>
  <si>
    <t>4. Kemikaalit, varaosat ja kriittiset palvelut</t>
  </si>
  <si>
    <t xml:space="preserve">4.1 Vesihuoltolaitoksen kriittiset materiaalit (kemikaalit, varaosat, yms) on tunnistettu. </t>
  </si>
  <si>
    <t>4.2 Kriittisten materiaalien riittävä varastokapasiteetti ja saatavuus on määritetty ja järjestetty.</t>
  </si>
  <si>
    <t xml:space="preserve">4.3 Toimittajien kanssa on neuvoteltu jatkuvuudenhallinnasta. </t>
  </si>
  <si>
    <t xml:space="preserve">4.4 Kriittisten materiaalien saanti on otettu huomioon sopimuksissa (esim. SOPIVA-sopimuslausekkeet). </t>
  </si>
  <si>
    <t>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t>
  </si>
  <si>
    <t>4.6 Vesihuoltolaitoksen kriittiset palvelut (perustoiminnan ylläpitämisen edellyttämät jatkuvat palvelut, esim. logistiikka) on tunnistettu.</t>
  </si>
  <si>
    <t>4.7 Vesihuoltolaitoksen kriittisten palveluiden riittävä saatavuus on määritetty ja varmistettu.</t>
  </si>
  <si>
    <t>4.8 Palvelutarjoajien kanssa on neuvoteltu jatkuvuudenhallinnasta. (esim. VAP-varaukset)</t>
  </si>
  <si>
    <t>4.9 Kriittisten palvelujen saanti on otettu huomioon sopimuksissa (esim. SOPIVA-sopimuslausekkeet).</t>
  </si>
  <si>
    <t>Kustannustehokas ja organisoitu</t>
  </si>
  <si>
    <t>5. Laitoksella on riittävät henkilöstöresurssit ja ammattitaitoinen henkilökunta, ja varallaolo on suunniteltu</t>
  </si>
  <si>
    <t>5.1 Henkilöstöllä on mahdollisuus kouluttautua ja työnantaja järjestää koulutusta havaitun tarpeen mukaan säännöllisesti.</t>
  </si>
  <si>
    <t>5.2 Vesihuoltolaitoksella on varallaolojärjestelmä, joka turvaa laitoksen operatiivisen toiminnan 24/7. Työajan ulkopuolisen ajan johtamisjärjestelyt on sovittu ja ohjeistettu. Hälytysyhteystieto on olemassa.</t>
  </si>
  <si>
    <t>5.3 Henkilökunta pystyy huolehtimaan kaikista operatiiviseen toimintaan liittyvistä kriittisistä toiminnoista itsenäisesti. TAI Vesihuoltolaitoksella on palvelusopimukset kriittisten toimintojen osalta.</t>
  </si>
  <si>
    <t xml:space="preserve">5.4 Henkilöstölle on laadittu laitoksen omat osaamistasovaatimukset. Osaamistasomäärityksessä voidaan hyödyntää esim. Vesihuoltolaitosten osaamiskriteerit -hankkeen osaamiskartoitustyökalua. </t>
  </si>
  <si>
    <t>5.5 Avainhenkilöt eli perustoiminnon ylläpitämisessä kriittiset henkilöt on tunnistettu ja nimetty. Avainhenkilöille on nimetty varahenkilöt, jotka on perehdytetty työnkuvaan.</t>
  </si>
  <si>
    <t>5.6 Vesihuoltolaitoksella on henkilökuntaa riittävästi, jotta omat tai ostopalvelut pystytään hoitamaan ennalta laaditun aikataulun mukaisesti (materiaalit, suunnittelu, rakentaminen, kunnossapito) ja hankkeita ei tarvitse viivyttää henkilöresurssien takia.</t>
  </si>
  <si>
    <t>6. Omaisuuden hallinta, operointi ja kunnossapito on suunnitelmallista</t>
  </si>
  <si>
    <t>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t>
  </si>
  <si>
    <t>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t>
  </si>
  <si>
    <t>6.2 Vesihuoltolaitoksen laitosten ja verkostojen automaatiojärjestelmistä kerätään luotettavaa tietoa sähköiseen muotoon.</t>
  </si>
  <si>
    <t>6.2 Vesihuoltolaitoksen laitoksen ja verkostojen automaatiojärjestelmistä saadaan ja kerätään jatkuvaa, ajantasaista ja luotettavaa tietoa sähköiseen muotoon.</t>
  </si>
  <si>
    <t>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t>
  </si>
  <si>
    <t>6.4 Vesihuoltolaitos on määrittänyt toiminnalleen KPI-mittarit (key performance indicator), joita seurataan.</t>
  </si>
  <si>
    <t>6.5 Vesihuoltolaitoksen laitoksista ja verkostoista kerätään järjestelmällisesti tietoa suunnittelun, rakentamisen, saneerauksen ja kunnossapidon osalta.</t>
  </si>
  <si>
    <t>6.6 Vesihuoltolaitos käyttää sähköistä kunnossapitojärjestelmää.</t>
  </si>
  <si>
    <t xml:space="preserve">6.7 Vesihuoltolaitoksen vedenjakeluverkoston vuotoja mitataan ja seurataan ja vuotavuusprosentti on määritelty verkostoalueittain. </t>
  </si>
  <si>
    <t>6.8 Vesihuoltolaitoksella on pitkän aikavälin omaisuudenhallintasuunnitelma (10 v).</t>
  </si>
  <si>
    <t>6.9 Vesihuoltolaitoksella on käytössä auditoitu omaisuudenhallinnan johtamisjärjestelmä (esim. ISO 55000).</t>
  </si>
  <si>
    <t>6.10 Vesihuoltolaitoksen laitosten ja verkoston automaatiojärjestelmistä saadaan jatkuvaa, ajantasaista ja virheetöntä tietoa räätälöidysti raportoituna organisaation eri tasoille. Tietoa hyödynnetään päätöksenteossa.</t>
  </si>
  <si>
    <t>7. Johtaminen on suunniteltua ja toiminta on kannattavaa</t>
  </si>
  <si>
    <t>7.1 Vesihuoltolaitoksella on selkeä kulut ja tuotot erittelevä taloushallintajärjestelmä tai vastaava pienille laitoksille soveltuva järjestelmä luokan 1 laitoksille.</t>
  </si>
  <si>
    <t>7.2 Vesihuoltolaitoksella on ajantasainen pitkän aikavälin (min. 10 v) investointiohjelma, jossa on otettu huomioon vesihuollon ja kunnan tarpeet, huomioitu vesihuollon kehittämissuunnitelma sekä toimintavarmuus.</t>
  </si>
  <si>
    <t>7.3 Vesihuoltolaitoksen perimät maksut ovat sellaiset, että pitkällä aikavälillä (10 v.) voidaan kattaa vesihuoltolaitoksen suunnitellut uus- ja korjausinvestoinnit ja käyttökustannukset.</t>
  </si>
  <si>
    <t>7.4 Vesihuoltolaitoksella on laadunhallintajärjestelmä tai toiminta on muuten järjestelmällistä ja kirjallisesti/sähköisesti dokumentoitua.</t>
  </si>
  <si>
    <t>7.5 Vesihuoltolaitoksen tietojen hallinta on suunniteltua ja järjestelmällistä (esim. tiedonhallintasuunnitelma ja järjestelmä) eli varmistetaan tietojen turvallinen luokittelu, käsittely ja säilytys.</t>
  </si>
  <si>
    <t>7.6 Vesihuoltolaitoksen toiminnasta kerätään järjestelmällisesti tietoa operatiivisen toiminnan (=päivittäisen toiminnan johtamisen) osalta.</t>
  </si>
  <si>
    <t>7.6 Vesihuoltolaitoksen operatiivisesta toiminnasta kerätään järjestelmällisesti oleellista tietoa, jota hyödynnetään johtamisessa</t>
  </si>
  <si>
    <t>7.7 Vesihuoltolaitoksella on käytössä operatiivisen toiminnan johtamisjärjestelmä (sisältää esim. vastuunjaon ja tehtäväkuvaukset) ja jatkuvan parantamisen toimintatapa.</t>
  </si>
  <si>
    <t>7.8 Vesihuoltolaitos on kartoittanut tarpeen erisuuruisille perus- ja liittymismaksuille eri alueilla ja ottanut ne käyttöön niiden soveltuessa.</t>
  </si>
  <si>
    <t>7.9 Vesihuoltolaitoksen henkilöstöllä ja johdolla on tulostavoitteet ja tulosmittarit tai muu määritelty ja mitattava ajuri, jota seurataan ja hyödynnetään toiminnan kehittämisessä.</t>
  </si>
  <si>
    <t>7.10 Vesihuoltolaitoksella on käytössä auditoidut ISO 9001-laatujärjestelmä sekä ISO 14001 -ympäristöjärjestelmä tai muu vastaava järjestelmä.</t>
  </si>
  <si>
    <t>7.11 Vesihuoltolaitoksella on käytössä auditoitu ISO 45001 työterveys- ja turvallisuusjärjestelmä tai muu vastaava.</t>
  </si>
  <si>
    <t>8. Käyttötalouden hallinta ja hankinnat ovat suunniteltuja, tehostettuja ja läpinäkyviä.</t>
  </si>
  <si>
    <t>8.1 Vesihuoltolaitoksen hyödykkeiden kulutusta seurataan. Hyödykkeellä tarkoitetaan vesilaitoksen toiminnassaan käyttämiä aineita, tarvikkeita tai palveluita, kuten esim. kemikaaleja, sähköä, rakentamispalvelua tms.</t>
  </si>
  <si>
    <t xml:space="preserve">8.2 Vesihuoltolaitoksen kustannuksia seurataan ja käyttötaloutta tehostetaan aktiivisesti. </t>
  </si>
  <si>
    <t xml:space="preserve">8.3 Vesihuoltolaitoksella tai kunnalla on vesihuoltolaitosta koskevat hankintaohjeet. Hankinnoissa otetaan tarkoituksenmukaisesti huomioon laatu- ja hintakriteerit. </t>
  </si>
  <si>
    <t>8.4 Vesihuoltolaitoksen henkilöstö on saanut koulutusta hankintojen ja palvelujen kilpailutukseen ja sopimuksiin sekä palvelujen ja toimitusten valvontaan.</t>
  </si>
  <si>
    <t xml:space="preserve">8.5 Vesihuoltolaitoksella on puitesopimukset keskeisten tavaroiden ja palveluiden hankinnan osalta. </t>
  </si>
  <si>
    <t>8.6 Vesihuoltolaitos kerää ja käyttää tunnuslukutietoa systemaattisesti ja vertailee toimintaansa kokoluokan ja lähialueen muihin vastaaviin toimijoihin.</t>
  </si>
  <si>
    <t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t>
  </si>
  <si>
    <t>8.8 Vesihuoltolaitoksen hankintakriteereihin sisältyvät sosiaalinen ja ympäristövastuullisuus</t>
  </si>
  <si>
    <t>Kestävä ja kehittyvä</t>
  </si>
  <si>
    <t>9. Jätevesien käsittelyn ja johtamisen ympäristökuormitus minimoidaan</t>
  </si>
  <si>
    <t>9.1 Jätevesiverkoston vuotovesiprosentti &lt; 30 %</t>
  </si>
  <si>
    <t>C</t>
  </si>
  <si>
    <t>9.2 Viemäritukosten määrä &lt; 5 kpl/100 km/v</t>
  </si>
  <si>
    <t>9.3 Laitosohitusten määrä jätevedestä &lt; 0,5 %</t>
  </si>
  <si>
    <t>D</t>
  </si>
  <si>
    <t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t>
  </si>
  <si>
    <t xml:space="preserve">9.5 Vesihuoltolaitoksen sekaviemäröinnin vähentämisestä on tehty suunnitelma ja sitä vähennetään vuosittain </t>
  </si>
  <si>
    <t xml:space="preserve">9.6 Vesihuoltolaitoksen viemäriverkoston vuotoja mitataan ja seurataan ja vuotavuusprosentti on määritelty soveltuvin osin pumppaamo- ja verkostoalueittain.  </t>
  </si>
  <si>
    <t>9.7 Vesihuoltolaitos on laatinut vuotovesien hallintasuunnitelman ja vuosittaisen investointisuunnitelman vuotovesien vähentämiseksi ja sitä toteutetaan.</t>
  </si>
  <si>
    <t>9.8 Vesihuoltolaitos on liittynyt vesiensuojelusopimukseen (Green Deal), tavoitteena vapaaehtoisesti vähentää kuormitusta alle lupaehtojen.</t>
  </si>
  <si>
    <t>10. Kestävä ja energiatehokas</t>
  </si>
  <si>
    <t xml:space="preserve">10.1 Vesihuoltolaitoksen energiankulutusta seurataan ja siihen kiinnitetään huomiota </t>
  </si>
  <si>
    <t>10.1 Vesihuoltolaitoksen energiankulutusta mitataan ja seura-taan vesihuoltolaitoksella osa-alueittain (esim. pumppaukset tai muut merkittävimmät energiankulutuskohteet).</t>
  </si>
  <si>
    <t>10.2 Vesihuoltolaitos tekee systemaattista riskinarviointia ja riskienhallintaa työturvallisuuden osalta sisältäen mm. kemiallisten ja biologisten vaarojen arvioinnin.</t>
  </si>
  <si>
    <t xml:space="preserve">10.3 Vesihuoltolaitoksen toiminta-alueen asukkaille on kohdistettu neuvontaa luvattomien viemäriliitosten poistamiseksi (esimerkiksi huleveden ja/tai perustusten kuivatusveden johtaminen jätevesiviemäriin ilman lupaa). </t>
  </si>
  <si>
    <t>10.4 Taloudelliset ohjauskeinot luvattomien viemäriliitosten poistamiseksi ovat aidosti käytössä eli korotettuja maksuja peritään tarvittaessa.</t>
  </si>
  <si>
    <t>10.5 Vesihuoltolaitos laatii ja julkaisee ympäristötilinpäätöksen vuosittain.</t>
  </si>
  <si>
    <t>10.6 Vesihuoltolaitoksen hiilijalanjälki on laskettu ja tuloksia käytetään toiminnan ohjauksessa.</t>
  </si>
  <si>
    <t>10.7 Vesihuoltolaitoksen energiankulutus on analysoitu, toimenpideohjelma energiatehokkuuden parantamiseksi laadittu ja sitä toteutetaan.</t>
  </si>
  <si>
    <t xml:space="preserve">10.8 Jätevedenpuhdistamolla hyödynnetään hukkalämpöä. </t>
  </si>
  <si>
    <t>10.9 Vesilaitoksen toiminnassa on järjestelmällisesti otettu huomioon ympäristö-, talous- ja sosiaalinen vastuu.</t>
  </si>
  <si>
    <t>10.10 Vesihuoltolaitoksen energiantuottopotentiaali on kartoitettu ja laitoksella on tavoitearvo energiaomavaraisuudelle.</t>
  </si>
  <si>
    <t xml:space="preserve">10.12 Hiilineutraalisuudelle on asetettu tavoite ja toimenpidesuunnitelma sen saavuttamiseksi </t>
  </si>
  <si>
    <t>11. Asiakaspalvelu ja viestintä on suunniteltua ja läpinäkyvää</t>
  </si>
  <si>
    <t>11.1 Säännöllinen asiakasviestintä esim. www-sivuilla, laskun/mittarilukemakortin yhteydessä tai asiakaslehdellä</t>
  </si>
  <si>
    <t>11.2 Toimintakertomus ja tilinpäätös julkaistaan vuosittain</t>
  </si>
  <si>
    <t>11.3 Asiakaspalaute kirjataan ylös</t>
  </si>
  <si>
    <t>11.4 Asiakastietojärjestelmä mahdollistaa sähköiset asiakaspalvelut</t>
  </si>
  <si>
    <t>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t>
  </si>
  <si>
    <t>11.6 Laitos tekee asiakastyytyväisyyskyselyn 2-4 vuoden välein.</t>
  </si>
  <si>
    <t>11.6 Laitos tekee asiakastyytyväisyyskyselyn 1-2 vuoden välein</t>
  </si>
  <si>
    <t>11.6 Laitos tekee asiakastyytyväisyyskyselyn vuosittain.</t>
  </si>
  <si>
    <t>11.7 Asiakasvalituksiin vastaamiseen on asetettu tavoiteaika.</t>
  </si>
  <si>
    <t>11.8 Käytössä liittyjäkohtainen kuluttajaviestintä (esim. tekstiviesti-ilmoitus)</t>
  </si>
  <si>
    <t>11.9 Sijaintitiedon kannalta oleelliset asiakasvalitukset hallinnoidaan paikkatietona. (esim. johtotietojärjestelmä, kunnossapitojärjestelmä)</t>
  </si>
  <si>
    <t>11.10 Asiakastyytyväisyyden tulos tasolla vähintään hyvä.</t>
  </si>
  <si>
    <t>11.11 Asiakaspalvelua kehitetään asiakastyytyväisyyskyselyjen lisäksi yhteistyössä asiakkaiden kanssa. (esim. säännöllinen asiakasfoorumi, isännöitsijätapaamiset)</t>
  </si>
  <si>
    <t>11.12 Asiakaspalvelulle on määritelty palvelutaso normaalitoiminnassa ja häiriötilanteissa.</t>
  </si>
  <si>
    <t>11.13 Asiakastyytyväisyyden jatkuva seuranta aina asiakaskohtaamisen yhteydessä</t>
  </si>
  <si>
    <t>11.14 Asiakkaille tarjotaan kohderyhmittäin räätälöityjä lisäpalveluja kulutustietojen, asioinnin yms. suhteen, esim. etäluenta, ladattava äppi tms.</t>
  </si>
  <si>
    <t>Kokoluokka</t>
  </si>
  <si>
    <t>Luokka 4, n. yli 30 000 asukasta</t>
  </si>
  <si>
    <t>Luokka 3, n. 5 000–30 000 asukasta</t>
  </si>
  <si>
    <t>Luokka 2, n. 500–5 000 asukasta</t>
  </si>
  <si>
    <t>Luokka 1, n. alle 500 asukasta</t>
  </si>
  <si>
    <t>Talousveden valmistus</t>
  </si>
  <si>
    <t>Talousveden jakelu</t>
  </si>
  <si>
    <t>Jätevesien viemäröinti</t>
  </si>
  <si>
    <t>Jätevesien käsittely</t>
  </si>
  <si>
    <t>Vastaus</t>
  </si>
  <si>
    <t>Kysymyksen 
Toimiala</t>
  </si>
  <si>
    <t>Kysymyk-sen 
Luokka</t>
  </si>
  <si>
    <t>Kyllä</t>
  </si>
  <si>
    <t>Ei</t>
  </si>
  <si>
    <t>Ei koske</t>
  </si>
  <si>
    <t>Vastausvaihtoehdot</t>
  </si>
  <si>
    <t>Lähtötietojen vastaukset</t>
  </si>
  <si>
    <t>= asiakkaan valitsema kokoluokka</t>
  </si>
  <si>
    <t>Luokka + toimiala</t>
  </si>
  <si>
    <t>Maksimipisteet</t>
  </si>
  <si>
    <t>Pisteet</t>
  </si>
  <si>
    <t>Pisteet % maksimista</t>
  </si>
  <si>
    <t>Maksimi-pisteet</t>
  </si>
  <si>
    <t>Erinomainen</t>
  </si>
  <si>
    <t>Kaikki oman luokan kriteerikohtaiset kysymykset täytetty.*</t>
  </si>
  <si>
    <t>Hyvä</t>
  </si>
  <si>
    <t xml:space="preserve">80 % - 99 % </t>
  </si>
  <si>
    <t>Korjattavaa</t>
  </si>
  <si>
    <t xml:space="preserve">50 % - 79,9 % </t>
  </si>
  <si>
    <t>Huono</t>
  </si>
  <si>
    <t>30 – 49,9%</t>
  </si>
  <si>
    <t>Erittäin Huono</t>
  </si>
  <si>
    <t xml:space="preserve">Alle 30 % </t>
  </si>
  <si>
    <t>Kriteeri täyttyy</t>
  </si>
  <si>
    <t>Kriteeri</t>
  </si>
  <si>
    <t>Tulos</t>
  </si>
  <si>
    <t>Pisteet (kriteeri täyttyy)</t>
  </si>
  <si>
    <t xml:space="preserve">Vastauspäivämäärä: </t>
  </si>
  <si>
    <t xml:space="preserve">Vesilaitos: </t>
  </si>
  <si>
    <t xml:space="preserve">Vastaajan nimi: </t>
  </si>
  <si>
    <t>HV</t>
  </si>
  <si>
    <t>*</t>
  </si>
  <si>
    <t>Kunta:</t>
  </si>
  <si>
    <t>Talousveden valmistus (A)</t>
  </si>
  <si>
    <t>Talousveden jakelu (B)</t>
  </si>
  <si>
    <t xml:space="preserve">Jätevesien viemäröinti (C) </t>
  </si>
  <si>
    <t>Jätevesien käsittely (D)</t>
  </si>
  <si>
    <t xml:space="preserve">Näytetään käyttäjälle Lähtötiedot-välilehdelle: </t>
  </si>
  <si>
    <t xml:space="preserve">Tarkistus: </t>
  </si>
  <si>
    <t xml:space="preserve">Kokoluokka-valinta Lähtötiedot-välilehdeltä: </t>
  </si>
  <si>
    <t xml:space="preserve">Toimiala-valinta Lähtötiedot-välilehdeltä: </t>
  </si>
  <si>
    <t xml:space="preserve">Lisätietoja toiminnasta: </t>
  </si>
  <si>
    <t xml:space="preserve">valinnut kahta kokoluokkaa. </t>
  </si>
  <si>
    <t>Hyvän vesihuollon kriteerit</t>
  </si>
  <si>
    <t xml:space="preserve">Tarkistaa, ettei käyttäjä ole </t>
  </si>
  <si>
    <t>Vastaajan tiedot</t>
  </si>
  <si>
    <t xml:space="preserve">Vastaajan tiedot </t>
  </si>
  <si>
    <t/>
  </si>
  <si>
    <t>Toimiala-
kysymys</t>
  </si>
  <si>
    <t>Extra-
kriteeri</t>
  </si>
  <si>
    <t>Huolto-varmuus</t>
  </si>
  <si>
    <t>Ala-
kategorianNro</t>
  </si>
  <si>
    <t>Otsikkorivi</t>
  </si>
  <si>
    <t>Alakategoria_</t>
  </si>
  <si>
    <t>Alakategoria</t>
  </si>
  <si>
    <t>Arviointikriteeri</t>
  </si>
  <si>
    <t xml:space="preserve">Vastaus </t>
  </si>
  <si>
    <t>Kunta</t>
  </si>
  <si>
    <t>Vesilaitoksen nimi</t>
  </si>
  <si>
    <t>Vastaajan kokoluokka</t>
  </si>
  <si>
    <t>Vastaajan toimiala</t>
  </si>
  <si>
    <t>Vastauspvm</t>
  </si>
  <si>
    <t>Extra-kysymys</t>
  </si>
  <si>
    <t>Kriteerin toimiala</t>
  </si>
  <si>
    <t>Kriteerin kokoluokka</t>
  </si>
  <si>
    <t>Kuuluuko kriteeri kyseisen laitoksen vastattavaksi</t>
  </si>
  <si>
    <t>_Otsikkorivi</t>
  </si>
  <si>
    <t>Huoltovarmuuskriteeri</t>
  </si>
  <si>
    <t>Onko korjattavaa?</t>
  </si>
  <si>
    <t xml:space="preserve">Huom! Jos muutat alkuperäistä vastaustasi, tieto ei välttämättä päivity tälle listalle ennen kuin painat suodattimen oikeassa yläkulmassa olevaa suodatuksen poisto -kuvaketta ja teet suodatuksen uudestaan. </t>
  </si>
  <si>
    <t>Vastausvaihtoehdot kriteerilistauksessa</t>
  </si>
  <si>
    <t>Tulokset</t>
  </si>
  <si>
    <t xml:space="preserve">Kuinka moneen kysymykseen jo vastattu: </t>
  </si>
  <si>
    <t xml:space="preserve">Kuinka moneen kysymykseen pitäisi vastata: </t>
  </si>
  <si>
    <t xml:space="preserve">Vastaamisen edistymisprosentti: </t>
  </si>
  <si>
    <t>Onko vastattu</t>
  </si>
  <si>
    <t xml:space="preserve">Vastaamisprosentit näkyviin Kriteerikysymys-sivuille: </t>
  </si>
  <si>
    <t>Toimiala A</t>
  </si>
  <si>
    <t>Toimiala B</t>
  </si>
  <si>
    <t>Toimiala C</t>
  </si>
  <si>
    <t>Toimiala D</t>
  </si>
  <si>
    <t>Piilotettu tekninen sivu: Tulosten lasku</t>
  </si>
  <si>
    <t>oman luokan kriteerikohtaisista kysymyksistä täyttyy.*</t>
  </si>
  <si>
    <r>
      <t xml:space="preserve">Tämä taulukko </t>
    </r>
    <r>
      <rPr>
        <b/>
        <sz val="11"/>
        <color theme="1"/>
        <rFont val="Aptos Narrow"/>
        <family val="2"/>
        <scheme val="minor"/>
      </rPr>
      <t xml:space="preserve">näyttää oletusarvoisesti kaikki </t>
    </r>
    <r>
      <rPr>
        <sz val="11"/>
        <color theme="1"/>
        <rFont val="Aptos Narrow"/>
        <family val="2"/>
        <scheme val="minor"/>
      </rPr>
      <t>kriteerit ja otsikkorivit.</t>
    </r>
  </si>
  <si>
    <t>SeliteOsittajaan</t>
  </si>
  <si>
    <t xml:space="preserve">Vastaamistilanne: </t>
  </si>
  <si>
    <t xml:space="preserve">Aputaulukko huoltovarmuuspisteiden laskemiseen kaikilta kolmelta kysymysvälilehdeltä: </t>
  </si>
  <si>
    <t>yht</t>
  </si>
  <si>
    <t>TT</t>
  </si>
  <si>
    <t>KO</t>
  </si>
  <si>
    <t>KK</t>
  </si>
  <si>
    <t>Tekniset piilosarakkeet A-C</t>
  </si>
  <si>
    <r>
      <t>Saat näkyviin korjattavat rivit käyttämällä oikealla näkyvää "Onko korjattavaa?"-suodatinta:</t>
    </r>
    <r>
      <rPr>
        <b/>
        <sz val="11"/>
        <color rgb="FFFF0000"/>
        <rFont val="Aptos Narrow"/>
        <family val="2"/>
        <scheme val="minor"/>
      </rPr>
      <t xml:space="preserve"> valitse suodattimesta "Kyllä" ja näet vain ne kriteerit, joissa on korjattavaa</t>
    </r>
    <r>
      <rPr>
        <b/>
        <sz val="11"/>
        <color theme="1"/>
        <rFont val="Aptos Narrow"/>
        <family val="2"/>
        <scheme val="minor"/>
      </rPr>
      <t xml:space="preserve"> </t>
    </r>
    <r>
      <rPr>
        <sz val="11"/>
        <color theme="1"/>
        <rFont val="Aptos Narrow"/>
        <family val="2"/>
        <scheme val="minor"/>
      </rPr>
      <t>(=kriteerit, joihin on vastattu "Ei").</t>
    </r>
  </si>
  <si>
    <t xml:space="preserve">Toimiala täytyy olla X, jos sitä ei ole valittu. Muutoin kysymykset sisältävien välilehtien etsintäfunktio menee rikki. </t>
  </si>
  <si>
    <t>Ohje</t>
  </si>
  <si>
    <t>Teknisiä piilosarakkeita</t>
  </si>
  <si>
    <t>Pikaohje</t>
  </si>
  <si>
    <t>(Pidempi ohje löytyy "Ohje"-välilehdeltä.)</t>
  </si>
  <si>
    <t>Tekniset (piilo)sarakkeet A-C</t>
  </si>
  <si>
    <t>2.11 Vesihuoltolaitoksen pääasiallinen varmuusluokka on B (Talousvettä käytettävissä ≥ 60 % normaalista kulutuksesta, mikäli vedenjakelualueen pääasiallista vesilähdettä ei voida käyttää).</t>
  </si>
  <si>
    <t>2.11 Vesihuoltolaitoksen pääasiallinen varmuusluokka on A (Talousvettä käytettävissä ≥ 90 % normaalista kulutuksesta, mikäli vedenjakelualueen pääasiallista vesilähdettä ei voida käyttää).</t>
  </si>
  <si>
    <t>7.3 Vesihuoltolaitoksen perimät maksut ovat sellaiset, että pitkällä aikavälillä (20 v.) voidaan kattaa vesihuoltolaitoksen suunnitellut uus- ja korjausinvestoinnit ja käyttökustannukset.</t>
  </si>
  <si>
    <t>7.2 Vesihuoltolaitoksella on ajantasainen pitkän aikavälin (min. 20 v) investointiohjelma, jossa on otettu huomioon vesihuollon ja kunnan tarpeet, huomioitu vesihuollon kehittämissuunnitelma sekä toimintavarmuus.</t>
  </si>
  <si>
    <t>6.8 Vesihuoltolaitoksella on pitkän aikavälin omaisuudenhallintasuunnitelma (20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</si>
</sst>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4"/>
      <color theme="1"/>
      <name val="Aptos Narrow"/>
      <family val="2"/>
      <scheme val="minor"/>
    </font>
    <font>
      <sz val="8"/>
      <name val="Aptos Narrow"/>
      <family val="2"/>
      <scheme val="minor"/>
    </font>
    <font>
      <sz val="9"/>
      <color indexed="81"/>
      <name val="Tahoma"/>
      <family val="2"/>
    </font>
    <font>
      <sz val="11"/>
      <color theme="1"/>
      <name val="Calibri"/>
      <family val="2"/>
    </font>
    <font>
      <b/>
      <sz val="20"/>
      <color theme="1"/>
      <name val="Aptos Narrow"/>
      <family val="2"/>
      <scheme val="minor"/>
    </font>
    <font>
      <sz val="15"/>
      <color theme="1"/>
      <name val="Aptos Narrow"/>
      <family val="2"/>
      <scheme val="minor"/>
    </font>
    <font>
      <sz val="20"/>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1"/>
      <color theme="0"/>
      <name val="Aptos Narrow"/>
      <family val="2"/>
      <scheme val="minor"/>
    </font>
    <font>
      <b/>
      <sz val="12"/>
      <color rgb="FFFF0000"/>
      <name val="Aptos Narrow"/>
      <family val="2"/>
      <scheme val="minor"/>
    </font>
    <font>
      <b/>
      <sz val="14"/>
      <name val="Aptos Narrow"/>
      <family val="2"/>
      <scheme val="minor"/>
    </font>
    <font>
      <b/>
      <sz val="16"/>
      <color theme="1"/>
      <name val="Aptos Narrow"/>
      <family val="2"/>
      <scheme val="minor"/>
    </font>
    <font>
      <b/>
      <sz val="20"/>
      <color rgb="FF13374B"/>
      <name val="Aptos Narrow"/>
      <family val="2"/>
      <scheme val="minor"/>
    </font>
    <font>
      <sz val="22"/>
      <color theme="6" tint="0.39997558519241921"/>
      <name val="Aptos Narrow"/>
      <family val="2"/>
      <scheme val="minor"/>
    </font>
    <font>
      <b/>
      <sz val="22"/>
      <color theme="6" tint="0.39997558519241921"/>
      <name val="Aptos Narrow"/>
      <family val="2"/>
      <scheme val="minor"/>
    </font>
    <font>
      <b/>
      <sz val="11"/>
      <color theme="1"/>
      <name val="Calibri"/>
      <family val="2"/>
    </font>
    <font>
      <sz val="12"/>
      <name val="Aptos Narrow"/>
      <family val="2"/>
      <scheme val="minor"/>
    </font>
    <font>
      <b/>
      <sz val="18"/>
      <color rgb="FF13374B"/>
      <name val="Aptos Narrow"/>
      <family val="2"/>
      <scheme val="minor"/>
    </font>
    <font>
      <i/>
      <sz val="11"/>
      <color theme="1"/>
      <name val="Aptos Narrow"/>
      <family val="2"/>
      <scheme val="minor"/>
    </font>
    <font>
      <b/>
      <sz val="12"/>
      <name val="Aptos Narrow"/>
      <family val="2"/>
      <scheme val="minor"/>
    </font>
    <font>
      <b/>
      <sz val="11"/>
      <color rgb="FFFF0000"/>
      <name val="Aptos Narrow"/>
      <family val="2"/>
      <scheme val="minor"/>
    </font>
    <font>
      <i/>
      <sz val="12"/>
      <color theme="1"/>
      <name val="Aptos Narrow"/>
      <family val="2"/>
      <scheme val="minor"/>
    </font>
    <font>
      <b/>
      <i/>
      <sz val="16"/>
      <color rgb="FF008ADE"/>
      <name val="Arial"/>
      <family val="2"/>
    </font>
    <font>
      <sz val="10"/>
      <color theme="1"/>
      <name val="Aptos Narrow"/>
      <family val="2"/>
      <scheme val="minor"/>
    </font>
    <font>
      <u/>
      <sz val="11"/>
      <color theme="10"/>
      <name val="Aptos Narrow"/>
      <family val="2"/>
      <scheme val="minor"/>
    </font>
    <font>
      <b/>
      <u/>
      <sz val="11"/>
      <color theme="1"/>
      <name val="Aptos Narrow"/>
      <family val="2"/>
      <scheme val="minor"/>
    </font>
    <font>
      <b/>
      <sz val="11"/>
      <color rgb="FF000000"/>
      <name val="Aptos Narrow"/>
      <family val="2"/>
      <scheme val="minor"/>
    </font>
    <font>
      <b/>
      <sz val="16"/>
      <color rgb="FF00000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D0EF67"/>
        <bgColor indexed="64"/>
      </patternFill>
    </fill>
    <fill>
      <patternFill patternType="solid">
        <fgColor rgb="FF96E1FF"/>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88C6FF"/>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3" tint="0.89999084444715716"/>
        <bgColor indexed="64"/>
      </patternFill>
    </fill>
    <fill>
      <patternFill patternType="solid">
        <fgColor rgb="FF92D050"/>
        <bgColor indexed="64"/>
      </patternFill>
    </fill>
    <fill>
      <patternFill patternType="solid">
        <fgColor theme="8" tint="0.39997558519241921"/>
        <bgColor indexed="64"/>
      </patternFill>
    </fill>
  </fills>
  <borders count="34">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n">
        <color theme="1"/>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s>
  <cellStyleXfs count="3">
    <xf numFmtId="0" fontId="0" fillId="0" borderId="0"/>
    <xf numFmtId="9" fontId="11" fillId="0" borderId="0" applyFont="0" applyFill="0" applyBorder="0" applyAlignment="0" applyProtection="0"/>
    <xf numFmtId="0" fontId="30" fillId="0" borderId="0" applyNumberFormat="0" applyFill="0" applyBorder="0" applyAlignment="0" applyProtection="0"/>
  </cellStyleXfs>
  <cellXfs count="182">
    <xf numFmtId="0" fontId="0" fillId="0" borderId="0" xfId="0"/>
    <xf numFmtId="0" fontId="0" fillId="0" borderId="0" xfId="0" applyAlignment="1">
      <alignment vertical="top"/>
    </xf>
    <xf numFmtId="0" fontId="0" fillId="0" borderId="0" xfId="0" applyAlignment="1">
      <alignment horizontal="left" vertical="top" wrapText="1"/>
    </xf>
    <xf numFmtId="0" fontId="3" fillId="0" borderId="0" xfId="0" applyFont="1"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3" fillId="2" borderId="0" xfId="0" applyFont="1" applyFill="1" applyAlignment="1">
      <alignment horizontal="left" vertical="top"/>
    </xf>
    <xf numFmtId="0" fontId="0" fillId="0" borderId="0" xfId="0" applyAlignment="1">
      <alignment vertical="top" wrapText="1"/>
    </xf>
    <xf numFmtId="0" fontId="3" fillId="0" borderId="0" xfId="0" applyFont="1" applyAlignment="1">
      <alignment horizontal="left" vertical="top" wrapText="1"/>
    </xf>
    <xf numFmtId="0" fontId="1" fillId="0" borderId="0" xfId="0" applyFont="1"/>
    <xf numFmtId="0" fontId="0" fillId="0" borderId="0" xfId="0" applyAlignment="1">
      <alignment horizontal="center"/>
    </xf>
    <xf numFmtId="0" fontId="0" fillId="0" borderId="0" xfId="0" applyAlignment="1">
      <alignment horizontal="center" vertical="top" wrapText="1"/>
    </xf>
    <xf numFmtId="0" fontId="8" fillId="0" borderId="0" xfId="0" applyFont="1"/>
    <xf numFmtId="0" fontId="0" fillId="0" borderId="0" xfId="0" quotePrefix="1"/>
    <xf numFmtId="0" fontId="1" fillId="3" borderId="0" xfId="0" applyFont="1" applyFill="1"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top"/>
    </xf>
    <xf numFmtId="0" fontId="0" fillId="5" borderId="2" xfId="0" applyFill="1" applyBorder="1"/>
    <xf numFmtId="0" fontId="0" fillId="5" borderId="3" xfId="0" applyFill="1" applyBorder="1"/>
    <xf numFmtId="0" fontId="0" fillId="5" borderId="4" xfId="0" applyFill="1" applyBorder="1"/>
    <xf numFmtId="0" fontId="0" fillId="5" borderId="12" xfId="0" applyFill="1" applyBorder="1"/>
    <xf numFmtId="0" fontId="1" fillId="5" borderId="0" xfId="0" applyFont="1" applyFill="1" applyAlignment="1">
      <alignment horizontal="center" wrapText="1"/>
    </xf>
    <xf numFmtId="0" fontId="0" fillId="5" borderId="13" xfId="0" applyFill="1" applyBorder="1"/>
    <xf numFmtId="0" fontId="0" fillId="5" borderId="0" xfId="0" applyFill="1"/>
    <xf numFmtId="9" fontId="0" fillId="5" borderId="0" xfId="1" applyFont="1" applyFill="1" applyBorder="1" applyAlignment="1">
      <alignment horizontal="center"/>
    </xf>
    <xf numFmtId="0" fontId="0" fillId="5" borderId="0" xfId="0" applyFill="1" applyAlignment="1">
      <alignment horizontal="center"/>
    </xf>
    <xf numFmtId="1" fontId="0" fillId="5" borderId="0" xfId="1" applyNumberFormat="1" applyFont="1" applyFill="1" applyBorder="1" applyAlignment="1">
      <alignment horizontal="center"/>
    </xf>
    <xf numFmtId="0" fontId="0" fillId="5" borderId="5" xfId="0" applyFill="1" applyBorder="1"/>
    <xf numFmtId="0" fontId="0" fillId="5" borderId="6" xfId="0" applyFill="1" applyBorder="1"/>
    <xf numFmtId="0" fontId="0" fillId="5" borderId="7" xfId="0" applyFill="1" applyBorder="1"/>
    <xf numFmtId="0" fontId="4" fillId="5" borderId="0" xfId="0" applyFont="1" applyFill="1"/>
    <xf numFmtId="0" fontId="13" fillId="5" borderId="0" xfId="0" applyFont="1" applyFill="1"/>
    <xf numFmtId="9" fontId="13" fillId="5" borderId="0" xfId="1" applyFont="1" applyFill="1" applyBorder="1" applyAlignment="1">
      <alignment horizontal="center"/>
    </xf>
    <xf numFmtId="0" fontId="13" fillId="5" borderId="0" xfId="0" applyFont="1" applyFill="1" applyAlignment="1">
      <alignment horizontal="center"/>
    </xf>
    <xf numFmtId="1" fontId="13" fillId="5" borderId="0" xfId="1" applyNumberFormat="1" applyFont="1" applyFill="1" applyBorder="1" applyAlignment="1">
      <alignment horizontal="center"/>
    </xf>
    <xf numFmtId="0" fontId="12" fillId="5" borderId="8" xfId="0" applyFont="1" applyFill="1" applyBorder="1" applyAlignment="1">
      <alignment horizontal="center" vertical="center"/>
    </xf>
    <xf numFmtId="0" fontId="12" fillId="5" borderId="0" xfId="0" applyFont="1" applyFill="1" applyAlignment="1">
      <alignment horizontal="center" wrapText="1"/>
    </xf>
    <xf numFmtId="0" fontId="1" fillId="7" borderId="0" xfId="0" applyFont="1" applyFill="1"/>
    <xf numFmtId="0" fontId="0" fillId="7" borderId="0" xfId="0" applyFill="1"/>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8" borderId="1" xfId="0" applyFont="1" applyFill="1" applyBorder="1" applyAlignment="1">
      <alignment horizontal="center" vertical="center"/>
    </xf>
    <xf numFmtId="0" fontId="14" fillId="7" borderId="0" xfId="0" applyFont="1" applyFill="1"/>
    <xf numFmtId="0" fontId="1" fillId="3" borderId="0" xfId="0" applyFont="1" applyFill="1"/>
    <xf numFmtId="0" fontId="1" fillId="7" borderId="0" xfId="0" applyFont="1" applyFill="1" applyAlignment="1">
      <alignment vertical="center"/>
    </xf>
    <xf numFmtId="0" fontId="0" fillId="7" borderId="0" xfId="0" applyFill="1" applyAlignment="1">
      <alignment vertical="center"/>
    </xf>
    <xf numFmtId="0" fontId="16" fillId="10" borderId="0" xfId="0" applyFont="1" applyFill="1"/>
    <xf numFmtId="0" fontId="14" fillId="10" borderId="0" xfId="0" applyFont="1" applyFill="1"/>
    <xf numFmtId="14" fontId="10" fillId="7" borderId="0" xfId="0" applyNumberFormat="1" applyFont="1" applyFill="1" applyAlignment="1">
      <alignment vertical="center"/>
    </xf>
    <xf numFmtId="0" fontId="4" fillId="10" borderId="0" xfId="0" applyFont="1" applyFill="1"/>
    <xf numFmtId="0" fontId="0" fillId="10" borderId="0" xfId="0" applyFill="1"/>
    <xf numFmtId="0" fontId="0" fillId="4" borderId="0" xfId="0" applyFill="1"/>
    <xf numFmtId="0" fontId="4" fillId="4" borderId="0" xfId="0" applyFont="1" applyFill="1"/>
    <xf numFmtId="0" fontId="18" fillId="4" borderId="0" xfId="0" applyFont="1" applyFill="1"/>
    <xf numFmtId="0" fontId="0" fillId="0" borderId="0" xfId="1" applyNumberFormat="1" applyFont="1" applyAlignment="1">
      <alignment horizontal="left" vertical="top"/>
    </xf>
    <xf numFmtId="0" fontId="17" fillId="0" borderId="0" xfId="0" applyFont="1" applyAlignment="1">
      <alignment horizontal="left"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0" borderId="0" xfId="0" applyFont="1" applyAlignment="1">
      <alignment vertical="top"/>
    </xf>
    <xf numFmtId="0" fontId="20" fillId="4" borderId="23" xfId="0" applyFont="1" applyFill="1" applyBorder="1" applyAlignment="1">
      <alignment horizontal="center" vertical="center"/>
    </xf>
    <xf numFmtId="0" fontId="15" fillId="4" borderId="23" xfId="0" applyFont="1" applyFill="1" applyBorder="1" applyAlignment="1">
      <alignment horizontal="center" vertical="center"/>
    </xf>
    <xf numFmtId="0" fontId="19" fillId="4" borderId="24" xfId="0" applyFont="1" applyFill="1" applyBorder="1" applyAlignment="1">
      <alignment horizontal="center" vertical="center"/>
    </xf>
    <xf numFmtId="0" fontId="15" fillId="4" borderId="24" xfId="0" applyFont="1" applyFill="1" applyBorder="1" applyAlignment="1">
      <alignment horizontal="center" vertical="center"/>
    </xf>
    <xf numFmtId="0" fontId="19" fillId="4" borderId="23" xfId="0" applyFont="1" applyFill="1" applyBorder="1" applyAlignment="1">
      <alignment horizontal="center" vertical="center"/>
    </xf>
    <xf numFmtId="0" fontId="3" fillId="11" borderId="0" xfId="0" applyFont="1" applyFill="1" applyAlignment="1">
      <alignment horizontal="left" vertical="center" wrapText="1"/>
    </xf>
    <xf numFmtId="0" fontId="3" fillId="11" borderId="0" xfId="0" applyFont="1" applyFill="1" applyAlignment="1">
      <alignment horizontal="center" vertical="top" wrapText="1"/>
    </xf>
    <xf numFmtId="14" fontId="0" fillId="0" borderId="0" xfId="0" applyNumberFormat="1"/>
    <xf numFmtId="0" fontId="0" fillId="0" borderId="0" xfId="0" applyAlignment="1">
      <alignment horizontal="left"/>
    </xf>
    <xf numFmtId="0" fontId="0" fillId="12" borderId="0" xfId="0" applyFill="1"/>
    <xf numFmtId="0" fontId="1" fillId="0" borderId="25" xfId="0" applyFont="1" applyBorder="1" applyAlignment="1">
      <alignment vertical="top"/>
    </xf>
    <xf numFmtId="0" fontId="1" fillId="0" borderId="25" xfId="0" applyFont="1" applyBorder="1" applyAlignment="1">
      <alignment vertical="top" wrapText="1"/>
    </xf>
    <xf numFmtId="0" fontId="0" fillId="4" borderId="0" xfId="0" applyFill="1" applyAlignment="1">
      <alignment vertical="top"/>
    </xf>
    <xf numFmtId="0" fontId="23" fillId="4" borderId="0" xfId="0" applyFont="1" applyFill="1" applyAlignment="1">
      <alignment vertical="top"/>
    </xf>
    <xf numFmtId="0" fontId="0" fillId="4" borderId="0" xfId="0" applyFill="1" applyAlignment="1">
      <alignment vertical="top" wrapText="1"/>
    </xf>
    <xf numFmtId="0" fontId="1" fillId="4" borderId="0" xfId="0" applyFont="1" applyFill="1" applyAlignment="1">
      <alignment vertical="top"/>
    </xf>
    <xf numFmtId="0" fontId="12" fillId="4" borderId="8" xfId="0" applyFont="1" applyFill="1" applyBorder="1" applyAlignment="1">
      <alignment horizontal="center" vertical="center"/>
    </xf>
    <xf numFmtId="9" fontId="0" fillId="4" borderId="8" xfId="0" applyNumberFormat="1" applyFill="1" applyBorder="1" applyAlignment="1">
      <alignment horizontal="center" vertical="center"/>
    </xf>
    <xf numFmtId="0" fontId="0" fillId="4" borderId="8" xfId="0" applyFill="1" applyBorder="1" applyAlignment="1">
      <alignment horizontal="left" vertical="center"/>
    </xf>
    <xf numFmtId="0" fontId="0" fillId="4" borderId="8" xfId="0" applyFill="1" applyBorder="1" applyAlignment="1">
      <alignment horizontal="center" vertical="center"/>
    </xf>
    <xf numFmtId="0" fontId="0" fillId="4" borderId="8" xfId="0" applyFill="1" applyBorder="1"/>
    <xf numFmtId="0" fontId="1" fillId="4" borderId="8"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12" xfId="0" applyFill="1" applyBorder="1"/>
    <xf numFmtId="0" fontId="4" fillId="2" borderId="0" xfId="0" applyFont="1" applyFill="1"/>
    <xf numFmtId="0" fontId="1" fillId="2" borderId="0" xfId="0" applyFont="1" applyFill="1" applyAlignment="1">
      <alignment horizontal="center" wrapText="1"/>
    </xf>
    <xf numFmtId="0" fontId="12" fillId="2" borderId="0" xfId="0" applyFont="1" applyFill="1" applyAlignment="1">
      <alignment horizontal="center" wrapText="1"/>
    </xf>
    <xf numFmtId="0" fontId="0" fillId="2" borderId="13" xfId="0" applyFill="1" applyBorder="1"/>
    <xf numFmtId="0" fontId="13" fillId="2" borderId="0" xfId="0" applyFont="1" applyFill="1"/>
    <xf numFmtId="9" fontId="13" fillId="2" borderId="0" xfId="1" applyFont="1" applyFill="1" applyBorder="1" applyAlignment="1">
      <alignment horizontal="center"/>
    </xf>
    <xf numFmtId="0" fontId="13" fillId="2" borderId="0" xfId="0" applyFont="1" applyFill="1" applyAlignment="1">
      <alignment horizontal="center"/>
    </xf>
    <xf numFmtId="0" fontId="12" fillId="2" borderId="8" xfId="0" applyFont="1" applyFill="1" applyBorder="1" applyAlignment="1">
      <alignment horizontal="center" vertical="center"/>
    </xf>
    <xf numFmtId="0" fontId="0" fillId="2" borderId="0" xfId="0" applyFill="1"/>
    <xf numFmtId="9" fontId="0" fillId="2" borderId="0" xfId="1" applyFont="1" applyFill="1" applyBorder="1" applyAlignment="1">
      <alignment horizontal="center"/>
    </xf>
    <xf numFmtId="0" fontId="0" fillId="2" borderId="0" xfId="0" applyFill="1" applyAlignment="1">
      <alignment horizontal="center"/>
    </xf>
    <xf numFmtId="1" fontId="0" fillId="2" borderId="0" xfId="1" applyNumberFormat="1" applyFont="1" applyFill="1" applyBorder="1" applyAlignment="1">
      <alignment horizontal="center"/>
    </xf>
    <xf numFmtId="0" fontId="0" fillId="2" borderId="5" xfId="0" applyFill="1" applyBorder="1"/>
    <xf numFmtId="0" fontId="0" fillId="2" borderId="6" xfId="0" applyFill="1" applyBorder="1"/>
    <xf numFmtId="0" fontId="0" fillId="2" borderId="7" xfId="0" applyFill="1" applyBorder="1"/>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3" fillId="0" borderId="22" xfId="0" applyFont="1" applyBorder="1" applyAlignment="1">
      <alignment horizontal="center" vertical="center"/>
    </xf>
    <xf numFmtId="0" fontId="3" fillId="0" borderId="21"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3" fillId="11" borderId="0" xfId="0" applyFont="1" applyFill="1" applyAlignment="1">
      <alignment horizontal="left" vertical="top" wrapText="1"/>
    </xf>
    <xf numFmtId="0" fontId="1" fillId="11" borderId="0" xfId="0" applyFont="1" applyFill="1" applyAlignment="1">
      <alignment horizontal="center" vertical="top" wrapText="1"/>
    </xf>
    <xf numFmtId="0" fontId="0" fillId="0" borderId="0" xfId="1" applyNumberFormat="1" applyFont="1"/>
    <xf numFmtId="0" fontId="0" fillId="4" borderId="0" xfId="0" applyFill="1" applyAlignment="1">
      <alignment horizontal="center" vertical="top" wrapText="1"/>
    </xf>
    <xf numFmtId="0" fontId="0" fillId="4" borderId="0" xfId="0" applyFill="1" applyAlignment="1">
      <alignment horizontal="left" vertical="center" wrapText="1"/>
    </xf>
    <xf numFmtId="0" fontId="0" fillId="4" borderId="0" xfId="0" applyFill="1" applyAlignment="1">
      <alignment horizontal="center" vertical="center"/>
    </xf>
    <xf numFmtId="0" fontId="21" fillId="0" borderId="21" xfId="0" applyFont="1" applyBorder="1" applyAlignment="1">
      <alignment horizontal="center" vertical="top" wrapText="1"/>
    </xf>
    <xf numFmtId="0" fontId="7" fillId="0" borderId="2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22" fillId="0" borderId="0" xfId="0" applyFont="1" applyAlignment="1">
      <alignment horizontal="left" vertical="top" wrapText="1"/>
    </xf>
    <xf numFmtId="0" fontId="3" fillId="0" borderId="0" xfId="0" applyFont="1" applyAlignment="1">
      <alignment vertical="top" wrapText="1"/>
    </xf>
    <xf numFmtId="0" fontId="8" fillId="12" borderId="0" xfId="0" applyFont="1" applyFill="1"/>
    <xf numFmtId="0" fontId="25" fillId="13" borderId="21" xfId="0" applyFont="1" applyFill="1" applyBorder="1" applyAlignment="1">
      <alignment horizontal="left" vertical="center"/>
    </xf>
    <xf numFmtId="0" fontId="0" fillId="4" borderId="0" xfId="0" applyFill="1" applyAlignment="1">
      <alignment horizontal="left" vertical="top"/>
    </xf>
    <xf numFmtId="0" fontId="3" fillId="4" borderId="0" xfId="0" applyFont="1" applyFill="1" applyAlignment="1">
      <alignment horizontal="left" vertical="top" wrapText="1"/>
    </xf>
    <xf numFmtId="0" fontId="0" fillId="4" borderId="0" xfId="0" applyFill="1" applyAlignment="1">
      <alignment horizontal="left" vertical="top" wrapText="1"/>
    </xf>
    <xf numFmtId="0" fontId="25" fillId="10" borderId="0" xfId="0" applyFont="1" applyFill="1" applyAlignment="1">
      <alignment horizontal="center" vertical="center" wrapText="1"/>
    </xf>
    <xf numFmtId="0" fontId="25" fillId="10" borderId="0" xfId="0" applyFont="1" applyFill="1" applyAlignment="1">
      <alignment horizontal="center" vertical="center"/>
    </xf>
    <xf numFmtId="0" fontId="2" fillId="10" borderId="0" xfId="0" applyFont="1" applyFill="1" applyAlignment="1">
      <alignment horizontal="center" vertical="center" wrapText="1"/>
    </xf>
    <xf numFmtId="0" fontId="3" fillId="11" borderId="0" xfId="0" applyFont="1" applyFill="1" applyAlignment="1">
      <alignment horizontal="center" vertical="center" wrapText="1"/>
    </xf>
    <xf numFmtId="0" fontId="0" fillId="6" borderId="0" xfId="0" applyFill="1" applyAlignment="1">
      <alignment vertical="top"/>
    </xf>
    <xf numFmtId="0" fontId="0" fillId="6" borderId="0" xfId="0" applyFill="1"/>
    <xf numFmtId="0" fontId="24" fillId="4" borderId="0" xfId="0" applyFont="1" applyFill="1" applyAlignment="1">
      <alignment vertical="top"/>
    </xf>
    <xf numFmtId="0" fontId="28" fillId="4" borderId="0" xfId="0" applyFont="1" applyFill="1"/>
    <xf numFmtId="0" fontId="0" fillId="4" borderId="0" xfId="1" applyNumberFormat="1" applyFont="1" applyFill="1" applyAlignment="1">
      <alignment horizontal="left" vertical="top"/>
    </xf>
    <xf numFmtId="0" fontId="17" fillId="4" borderId="0" xfId="0" applyFont="1" applyFill="1" applyAlignment="1">
      <alignment horizontal="left" vertical="top"/>
    </xf>
    <xf numFmtId="0" fontId="12" fillId="4" borderId="0" xfId="0" applyFont="1" applyFill="1" applyAlignment="1">
      <alignment horizontal="left" vertical="top"/>
    </xf>
    <xf numFmtId="0" fontId="27" fillId="4" borderId="0" xfId="0" applyFont="1" applyFill="1" applyAlignment="1">
      <alignment horizontal="right"/>
    </xf>
    <xf numFmtId="0" fontId="24" fillId="4" borderId="0" xfId="0" applyFont="1" applyFill="1"/>
    <xf numFmtId="0" fontId="1" fillId="4" borderId="0" xfId="0" applyFont="1" applyFill="1"/>
    <xf numFmtId="0" fontId="29" fillId="4" borderId="0" xfId="0" applyFont="1" applyFill="1"/>
    <xf numFmtId="0" fontId="13" fillId="0" borderId="0" xfId="0" applyFont="1"/>
    <xf numFmtId="0" fontId="0" fillId="4" borderId="27" xfId="0" applyFill="1" applyBorder="1"/>
    <xf numFmtId="0" fontId="0" fillId="4" borderId="28" xfId="0" applyFill="1" applyBorder="1"/>
    <xf numFmtId="0" fontId="0" fillId="4" borderId="29" xfId="0" applyFill="1" applyBorder="1"/>
    <xf numFmtId="0" fontId="0" fillId="4" borderId="30" xfId="0" applyFill="1" applyBorder="1"/>
    <xf numFmtId="0" fontId="0" fillId="4" borderId="31" xfId="0" applyFill="1" applyBorder="1"/>
    <xf numFmtId="0" fontId="29" fillId="4" borderId="32" xfId="0" applyFont="1" applyFill="1" applyBorder="1"/>
    <xf numFmtId="0" fontId="0" fillId="4" borderId="32" xfId="0" applyFill="1" applyBorder="1"/>
    <xf numFmtId="0" fontId="0" fillId="4" borderId="33" xfId="0" applyFill="1" applyBorder="1"/>
    <xf numFmtId="0" fontId="0" fillId="4" borderId="26" xfId="0" applyFill="1" applyBorder="1"/>
    <xf numFmtId="0" fontId="29" fillId="4" borderId="27" xfId="0" applyFont="1" applyFill="1" applyBorder="1"/>
    <xf numFmtId="0" fontId="7" fillId="13" borderId="21"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protection locked="0"/>
    </xf>
    <xf numFmtId="0" fontId="31" fillId="14" borderId="0" xfId="2" applyFont="1" applyFill="1" applyAlignment="1">
      <alignment horizontal="center" vertical="center"/>
    </xf>
    <xf numFmtId="0" fontId="9" fillId="7" borderId="0" xfId="0" applyFont="1" applyFill="1" applyAlignment="1" applyProtection="1">
      <alignment horizontal="center" vertical="center"/>
      <protection locked="0"/>
    </xf>
    <xf numFmtId="0" fontId="1" fillId="0" borderId="25" xfId="0" applyFont="1" applyBorder="1" applyAlignment="1" applyProtection="1">
      <alignment vertical="top"/>
      <protection locked="0"/>
    </xf>
    <xf numFmtId="0" fontId="0" fillId="0" borderId="0" xfId="0" applyAlignment="1" applyProtection="1">
      <alignment vertical="top"/>
      <protection locked="0"/>
    </xf>
    <xf numFmtId="0" fontId="2" fillId="3" borderId="0" xfId="0" applyFont="1" applyFill="1" applyAlignment="1">
      <alignment horizontal="left" vertical="center"/>
    </xf>
    <xf numFmtId="0" fontId="32" fillId="0" borderId="0" xfId="0" applyFont="1" applyAlignment="1">
      <alignment vertical="center" readingOrder="1"/>
    </xf>
    <xf numFmtId="0" fontId="33" fillId="2" borderId="0" xfId="0" applyFont="1" applyFill="1" applyAlignment="1">
      <alignment vertical="center" readingOrder="1"/>
    </xf>
    <xf numFmtId="0" fontId="30" fillId="2" borderId="0" xfId="2" applyFill="1" applyAlignment="1">
      <alignment vertical="center" readingOrder="1"/>
    </xf>
    <xf numFmtId="0" fontId="3" fillId="15" borderId="0" xfId="0" applyFont="1" applyFill="1" applyAlignment="1">
      <alignment horizontal="left" vertical="center" wrapText="1"/>
    </xf>
    <xf numFmtId="0" fontId="0" fillId="3" borderId="0" xfId="0" applyFill="1" applyAlignment="1">
      <alignment horizontal="left" vertical="top"/>
    </xf>
    <xf numFmtId="0" fontId="3" fillId="3" borderId="0" xfId="0" applyFont="1" applyFill="1" applyAlignment="1">
      <alignment horizontal="left" vertical="top" wrapText="1"/>
    </xf>
    <xf numFmtId="0" fontId="0" fillId="3" borderId="0" xfId="0" applyFill="1" applyAlignment="1">
      <alignment horizontal="center" vertical="top" wrapText="1"/>
    </xf>
    <xf numFmtId="0" fontId="0" fillId="3" borderId="0" xfId="0" applyFill="1" applyAlignment="1">
      <alignment horizontal="left" vertical="center" wrapText="1"/>
    </xf>
    <xf numFmtId="0" fontId="0" fillId="4" borderId="9"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16" fillId="6" borderId="0" xfId="0" applyFont="1" applyFill="1" applyAlignment="1">
      <alignment horizontal="left" vertical="center"/>
    </xf>
    <xf numFmtId="14" fontId="0" fillId="4" borderId="9" xfId="0" applyNumberFormat="1" applyFill="1" applyBorder="1" applyAlignment="1" applyProtection="1">
      <alignment horizontal="left" vertical="center"/>
      <protection locked="0"/>
    </xf>
    <xf numFmtId="0" fontId="1" fillId="9" borderId="17" xfId="0" applyFont="1" applyFill="1" applyBorder="1" applyAlignment="1">
      <alignment horizontal="left"/>
    </xf>
    <xf numFmtId="0" fontId="1" fillId="9" borderId="18" xfId="0" applyFont="1" applyFill="1" applyBorder="1" applyAlignment="1">
      <alignment horizontal="left"/>
    </xf>
    <xf numFmtId="0" fontId="1" fillId="9" borderId="19" xfId="0" applyFont="1" applyFill="1" applyBorder="1" applyAlignment="1">
      <alignment horizontal="left"/>
    </xf>
    <xf numFmtId="0" fontId="2" fillId="3" borderId="0" xfId="0" applyFont="1" applyFill="1" applyAlignment="1">
      <alignment horizontal="left" vertical="top"/>
    </xf>
  </cellXfs>
  <cellStyles count="3">
    <cellStyle name="Hyperlinkki" xfId="2" builtinId="8"/>
    <cellStyle name="Normaali" xfId="0" builtinId="0"/>
    <cellStyle name="Prosenttia" xfId="1" builtinId="5"/>
  </cellStyles>
  <dxfs count="224">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ont>
        <b/>
        <i val="0"/>
        <color rgb="FFFF0000"/>
      </font>
    </dxf>
    <dxf>
      <font>
        <color theme="6"/>
      </font>
    </dxf>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ill>
        <patternFill>
          <bgColor theme="9"/>
        </patternFill>
      </fill>
    </dxf>
    <dxf>
      <fill>
        <patternFill>
          <bgColor theme="9" tint="0.39994506668294322"/>
        </patternFill>
      </fill>
    </dxf>
    <dxf>
      <fill>
        <patternFill>
          <bgColor rgb="FFEAEA1E"/>
        </patternFill>
      </fill>
    </dxf>
    <dxf>
      <fill>
        <patternFill>
          <bgColor rgb="FFE5A63F"/>
        </patternFill>
      </fill>
    </dxf>
    <dxf>
      <fill>
        <patternFill>
          <bgColor rgb="FFFF0000"/>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theme="0" tint="-0.14996795556505021"/>
        </patternFill>
      </fill>
    </dxf>
    <dxf>
      <fill>
        <patternFill>
          <bgColor rgb="FF88C6FF"/>
        </patternFill>
      </fill>
    </dxf>
    <dxf>
      <font>
        <strike val="0"/>
        <color rgb="FFFF0000"/>
      </font>
      <fill>
        <patternFill patternType="solid">
          <bgColor rgb="FF88C6FF"/>
        </patternFill>
      </fill>
    </dxf>
    <dxf>
      <font>
        <strike val="0"/>
        <color rgb="FFFF0000"/>
      </font>
      <fill>
        <patternFill patternType="solid">
          <bgColor theme="0" tint="-4.9989318521683403E-2"/>
        </patternFill>
      </fill>
    </dxf>
    <dxf>
      <font>
        <strike/>
        <color theme="2" tint="-9.9948118533890809E-2"/>
      </font>
      <fill>
        <patternFill patternType="solid">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9" formatCode="d/m/yyyy"/>
    </dxf>
    <dxf>
      <numFmt numFmtId="0" formatCode="General"/>
    </dxf>
    <dxf>
      <numFmt numFmtId="0" formatCode="General"/>
    </dxf>
    <dxf>
      <numFmt numFmtId="0" formatCode="General"/>
    </dxf>
    <dxf>
      <numFmt numFmtId="0" formatCode="General"/>
    </dxf>
    <dxf>
      <numFmt numFmtId="0" formatCode="General"/>
    </dxf>
    <dxf>
      <alignment horizontal="left" vertical="bottom" textRotation="0" wrapText="0" indent="0" justifyLastLine="0" shrinkToFit="0" readingOrder="0"/>
    </dxf>
    <dxf>
      <numFmt numFmtId="19" formatCode="d/m/yyyy"/>
    </dxf>
    <dxf>
      <numFmt numFmtId="0" formatCode="General"/>
    </dxf>
    <dxf>
      <numFmt numFmtId="0" formatCode="General"/>
    </dxf>
    <dxf>
      <numFmt numFmtId="0" formatCode="General"/>
    </dxf>
    <dxf>
      <numFmt numFmtId="0" formatCode="General"/>
    </dxf>
    <dxf>
      <numFmt numFmtId="0" formatCode="General"/>
    </dxf>
    <dxf>
      <alignment horizontal="left" vertical="bottom"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0" formatCode="General"/>
      <alignment horizontal="general" vertical="top" textRotation="0" indent="0" justifyLastLine="0" shrinkToFit="0" readingOrder="0"/>
      <protection locked="0" hidden="0"/>
    </dxf>
    <dxf>
      <numFmt numFmtId="0" formatCode="General"/>
      <alignment horizontal="general" vertical="top" textRotation="0" indent="0" justifyLastLine="0" shrinkToFit="0" readingOrder="0"/>
    </dxf>
    <dxf>
      <alignment horizontal="general" vertical="top" textRotation="0" indent="0" justifyLastLine="0" shrinkToFit="0" readingOrder="0"/>
    </dxf>
    <dxf>
      <border outline="0">
        <top style="thin">
          <color rgb="FF000000"/>
        </top>
      </border>
    </dxf>
    <dxf>
      <alignment horizontal="general" vertical="top" textRotation="0" indent="0" justifyLastLine="0" shrinkToFit="0" readingOrder="0"/>
    </dxf>
    <dxf>
      <border outline="0">
        <bottom style="thin">
          <color rgb="FF000000"/>
        </bottom>
      </border>
    </dxf>
    <dxf>
      <font>
        <b/>
        <i val="0"/>
        <strike val="0"/>
        <condense val="0"/>
        <extend val="0"/>
        <outline val="0"/>
        <shadow val="0"/>
        <u val="none"/>
        <vertAlign val="baseline"/>
        <sz val="11"/>
        <color theme="1"/>
        <name val="Aptos Narrow"/>
        <family val="2"/>
        <scheme val="minor"/>
      </font>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0" formatCode="General"/>
      <alignment horizontal="general" vertical="top" textRotation="0" indent="0" justifyLastLine="0" shrinkToFit="0" readingOrder="0"/>
    </dxf>
    <dxf>
      <numFmt numFmtId="0" formatCode="General"/>
      <alignment horizontal="general" vertical="top" textRotation="0" indent="0" justifyLastLine="0" shrinkToFit="0" readingOrder="0"/>
    </dxf>
    <dxf>
      <alignment horizontal="general" vertical="top" textRotation="0" indent="0" justifyLastLine="0" shrinkToFit="0" readingOrder="0"/>
    </dxf>
    <dxf>
      <border outline="0">
        <top style="thin">
          <color theme="1"/>
        </top>
      </border>
    </dxf>
    <dxf>
      <alignment horizontal="general" vertical="top" textRotation="0"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top" textRotation="0" indent="0" justifyLastLine="0" shrinkToFit="0" readingOrder="0"/>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dxf>
    <dxf>
      <font>
        <strike val="0"/>
        <outline val="0"/>
        <shadow val="0"/>
        <u val="none"/>
        <vertAlign val="baseline"/>
        <sz val="11"/>
        <name val="Aptos Narrow"/>
        <family val="2"/>
        <scheme val="minor"/>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strike val="0"/>
        <outline val="0"/>
        <shadow val="0"/>
        <u val="none"/>
        <vertAlign val="baseline"/>
        <sz val="11"/>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hair">
          <color auto="1"/>
        </top>
        <bottom style="hair">
          <color auto="1"/>
        </bottom>
      </border>
      <protection locked="0" hidden="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Aptos Narrow"/>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i val="0"/>
        <strike val="0"/>
        <condense val="0"/>
        <extend val="0"/>
        <outline val="0"/>
        <shadow val="0"/>
        <u val="none"/>
        <vertAlign val="baseline"/>
        <sz val="12"/>
        <color rgb="FFFF0000"/>
        <name val="Aptos Narrow"/>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hair">
          <color auto="1"/>
        </left>
        <right/>
        <top style="hair">
          <color auto="1"/>
        </top>
        <bottom style="hair">
          <color auto="1"/>
        </bottom>
      </border>
    </dxf>
    <dxf>
      <fill>
        <patternFill patternType="none">
          <fgColor indexed="64"/>
          <bgColor indexed="65"/>
        </patternFill>
      </fill>
    </dxf>
    <dxf>
      <font>
        <sz val="22"/>
        <color theme="6" tint="0.39997558519241921"/>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hair">
          <color auto="1"/>
        </right>
        <top style="hair">
          <color auto="1"/>
        </top>
        <bottom style="hair">
          <color auto="1"/>
        </bottom>
      </border>
    </dxf>
    <dxf>
      <fill>
        <patternFill patternType="none">
          <fgColor indexed="64"/>
          <bgColor indexed="65"/>
        </patternFill>
      </fill>
    </dxf>
    <dxf>
      <font>
        <color auto="1"/>
      </font>
      <fill>
        <patternFill patternType="none">
          <fgColor indexed="64"/>
          <bgColor auto="1"/>
        </patternFill>
      </fill>
      <alignment horizontal="center" vertical="center" textRotation="0" wrapText="0"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numFmt numFmtId="0" formatCode="General"/>
      <alignment horizontal="center" vertical="top" textRotation="0" wrapText="1" indent="0" justifyLastLine="0" shrinkToFit="0" readingOrder="0"/>
      <border diagonalUp="0" diagonalDown="0" outline="0">
        <left/>
        <right/>
        <top style="hair">
          <color auto="1"/>
        </top>
        <bottom style="hair">
          <color auto="1"/>
        </bottom>
      </border>
    </dxf>
    <dxf>
      <fill>
        <patternFill patternType="none">
          <fgColor indexed="64"/>
          <bgColor indexed="65"/>
        </patternFill>
      </fill>
    </dxf>
    <dxf>
      <font>
        <b val="0"/>
        <strike val="0"/>
        <outline val="0"/>
        <shadow val="0"/>
        <u val="none"/>
        <vertAlign val="baseline"/>
        <sz val="11"/>
        <color auto="1"/>
        <name val="Aptos Narrow"/>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left" vertical="justify"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numFmt numFmtId="0" formatCode="General"/>
      <alignment horizontal="left" vertical="top"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auto="1"/>
        <name val="Aptos Narrow"/>
        <family val="2"/>
        <scheme val="minor"/>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name val="Calibri"/>
        <family val="2"/>
        <scheme val="none"/>
      </font>
      <fill>
        <patternFill patternType="none">
          <fgColor rgb="FF000000"/>
          <bgColor auto="1"/>
        </patternFill>
      </fill>
      <alignment horizontal="left" vertical="top" textRotation="0" indent="0" justifyLastLine="0" shrinkToFit="0" readingOrder="0"/>
    </dxf>
    <dxf>
      <font>
        <strike val="0"/>
        <outline val="0"/>
        <shadow val="0"/>
        <u val="none"/>
        <vertAlign val="baseline"/>
        <sz val="11"/>
        <name val="Aptos Narrow"/>
        <family val="2"/>
        <scheme val="minor"/>
      </font>
      <alignment horizontal="left" vertical="center" textRotation="0" wrapText="0" indent="0" justifyLastLine="0" shrinkToFit="0" readingOrder="0"/>
    </dxf>
  </dxfs>
  <tableStyles count="0" defaultTableStyle="TableStyleMedium2" defaultPivotStyle="PivotStyleLight16"/>
  <colors>
    <mruColors>
      <color rgb="FFBB90FF"/>
      <color rgb="FF008ADE"/>
      <color rgb="FF96E1FF"/>
      <color rgb="FF13374B"/>
      <color rgb="FF88C6FF"/>
      <color rgb="FFD0EF67"/>
      <color rgb="FFEEB36D"/>
      <color rgb="FFF3497E"/>
      <color rgb="FF7F81FC"/>
      <color rgb="FFB7D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5.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8.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4.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3.xml"/><Relationship Id="rId20" Type="http://schemas.microsoft.com/office/2007/relationships/slicerCache" Target="slicerCaches/slicerCache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microsoft.com/office/2007/relationships/slicerCache" Target="slicerCaches/slicerCache6.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microsoft.com/office/2007/relationships/slicerCache" Target="slicerCaches/slicerCache9.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i="0" baseline="0"/>
              <a:t>Kriteerien täyttyminen kategorioittain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'TEKNINEN - TulostenLasku'!$D$6</c:f>
              <c:strCache>
                <c:ptCount val="1"/>
                <c:pt idx="0">
                  <c:v>Kriteeri täyttyy</c:v>
                </c:pt>
              </c:strCache>
            </c:strRef>
          </c:tx>
          <c:spPr>
            <a:solidFill>
              <a:schemeClr val="accent1"/>
            </a:solidFill>
            <a:ln>
              <a:noFill/>
            </a:ln>
            <a:effectLst/>
          </c:spPr>
          <c:invertIfNegative val="0"/>
          <c:cat>
            <c:strRef>
              <c:f>'TEKNINEN - TulostenLasku'!$C$7:$C$10</c:f>
              <c:strCache>
                <c:ptCount val="4"/>
                <c:pt idx="0">
                  <c:v>Turvallinen ja toimintavarma</c:v>
                </c:pt>
                <c:pt idx="1">
                  <c:v>Kustannustehokas ja organisoitu</c:v>
                </c:pt>
                <c:pt idx="2">
                  <c:v>Kestävä ja kehittyvä</c:v>
                </c:pt>
                <c:pt idx="3">
                  <c:v>Huoltovarmuus</c:v>
                </c:pt>
              </c:strCache>
            </c:strRef>
          </c:cat>
          <c:val>
            <c:numRef>
              <c:f>'TEKNINEN - TulostenLasku'!$D$7:$D$10</c:f>
              <c:numCache>
                <c:formatCode>0%</c:formatCode>
                <c:ptCount val="4"/>
                <c:pt idx="0">
                  <c:v>0</c:v>
                </c:pt>
                <c:pt idx="1">
                  <c:v>0</c:v>
                </c:pt>
                <c:pt idx="2">
                  <c:v>0</c:v>
                </c:pt>
                <c:pt idx="3">
                  <c:v>0</c:v>
                </c:pt>
              </c:numCache>
            </c:numRef>
          </c:val>
          <c:extLst>
            <c:ext xmlns:c16="http://schemas.microsoft.com/office/drawing/2014/chart" uri="{C3380CC4-5D6E-409C-BE32-E72D297353CC}">
              <c16:uniqueId val="{00000000-AD44-4523-9E0D-CA055BD1A2B3}"/>
            </c:ext>
          </c:extLst>
        </c:ser>
        <c:ser>
          <c:idx val="1"/>
          <c:order val="1"/>
          <c:tx>
            <c:strRef>
              <c:f>'TEKNINEN - TulostenLasku'!$E$6</c:f>
              <c:strCache>
                <c:ptCount val="1"/>
                <c:pt idx="0">
                  <c:v>Korjattavaa</c:v>
                </c:pt>
              </c:strCache>
            </c:strRef>
          </c:tx>
          <c:spPr>
            <a:solidFill>
              <a:schemeClr val="accent2"/>
            </a:solidFill>
            <a:ln>
              <a:noFill/>
            </a:ln>
            <a:effectLst/>
          </c:spPr>
          <c:invertIfNegative val="0"/>
          <c:cat>
            <c:strRef>
              <c:f>'TEKNINEN - TulostenLasku'!$C$7:$C$10</c:f>
              <c:strCache>
                <c:ptCount val="4"/>
                <c:pt idx="0">
                  <c:v>Turvallinen ja toimintavarma</c:v>
                </c:pt>
                <c:pt idx="1">
                  <c:v>Kustannustehokas ja organisoitu</c:v>
                </c:pt>
                <c:pt idx="2">
                  <c:v>Kestävä ja kehittyvä</c:v>
                </c:pt>
                <c:pt idx="3">
                  <c:v>Huoltovarmuus</c:v>
                </c:pt>
              </c:strCache>
            </c:strRef>
          </c:cat>
          <c:val>
            <c:numRef>
              <c:f>'TEKNINEN - TulostenLasku'!$E$7:$E$10</c:f>
              <c:numCache>
                <c:formatCode>0%</c:formatCode>
                <c:ptCount val="4"/>
                <c:pt idx="0">
                  <c:v>0</c:v>
                </c:pt>
                <c:pt idx="1">
                  <c:v>0</c:v>
                </c:pt>
                <c:pt idx="2">
                  <c:v>0</c:v>
                </c:pt>
                <c:pt idx="3">
                  <c:v>0</c:v>
                </c:pt>
              </c:numCache>
            </c:numRef>
          </c:val>
          <c:extLst>
            <c:ext xmlns:c16="http://schemas.microsoft.com/office/drawing/2014/chart" uri="{C3380CC4-5D6E-409C-BE32-E72D297353CC}">
              <c16:uniqueId val="{00000001-AD44-4523-9E0D-CA055BD1A2B3}"/>
            </c:ext>
          </c:extLst>
        </c:ser>
        <c:dLbls>
          <c:showLegendKey val="0"/>
          <c:showVal val="0"/>
          <c:showCatName val="0"/>
          <c:showSerName val="0"/>
          <c:showPercent val="0"/>
          <c:showBubbleSize val="0"/>
        </c:dLbls>
        <c:gapWidth val="150"/>
        <c:overlap val="100"/>
        <c:axId val="661247088"/>
        <c:axId val="352785024"/>
      </c:barChart>
      <c:catAx>
        <c:axId val="661247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52785024"/>
        <c:crosses val="autoZero"/>
        <c:auto val="1"/>
        <c:lblAlgn val="ctr"/>
        <c:lblOffset val="100"/>
        <c:noMultiLvlLbl val="0"/>
      </c:catAx>
      <c:valAx>
        <c:axId val="35278502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612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i="0" baseline="0"/>
              <a:t>Kriteerien täyttyminen kategorioittain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Tulokset!$E$5</c:f>
              <c:strCache>
                <c:ptCount val="1"/>
                <c:pt idx="0">
                  <c:v>Kriteeri täyttyy</c:v>
                </c:pt>
              </c:strCache>
            </c:strRef>
          </c:tx>
          <c:spPr>
            <a:solidFill>
              <a:schemeClr val="accent1"/>
            </a:solidFill>
            <a:ln>
              <a:noFill/>
            </a:ln>
            <a:effectLst/>
          </c:spPr>
          <c:invertIfNegative val="0"/>
          <c:cat>
            <c:strRef>
              <c:f>Tulokset!$C$6:$C$9</c:f>
              <c:strCache>
                <c:ptCount val="4"/>
                <c:pt idx="0">
                  <c:v>Turvallinen ja toimintavarma</c:v>
                </c:pt>
                <c:pt idx="1">
                  <c:v>Kustannustehokas ja organisoitu</c:v>
                </c:pt>
                <c:pt idx="2">
                  <c:v>Kestävä ja kehittyvä</c:v>
                </c:pt>
                <c:pt idx="3">
                  <c:v>Huoltovarmuus</c:v>
                </c:pt>
              </c:strCache>
            </c:strRef>
          </c:cat>
          <c:val>
            <c:numRef>
              <c:f>Tulokset!$E$6:$E$9</c:f>
              <c:numCache>
                <c:formatCode>0%</c:formatCode>
                <c:ptCount val="4"/>
                <c:pt idx="0">
                  <c:v>0</c:v>
                </c:pt>
                <c:pt idx="1">
                  <c:v>0</c:v>
                </c:pt>
                <c:pt idx="2">
                  <c:v>0</c:v>
                </c:pt>
                <c:pt idx="3">
                  <c:v>0</c:v>
                </c:pt>
              </c:numCache>
            </c:numRef>
          </c:val>
          <c:extLst>
            <c:ext xmlns:c16="http://schemas.microsoft.com/office/drawing/2014/chart" uri="{C3380CC4-5D6E-409C-BE32-E72D297353CC}">
              <c16:uniqueId val="{00000000-25EB-41DD-BF0F-999FE8A7E956}"/>
            </c:ext>
          </c:extLst>
        </c:ser>
        <c:ser>
          <c:idx val="1"/>
          <c:order val="1"/>
          <c:tx>
            <c:strRef>
              <c:f>Tulokset!$F$5</c:f>
              <c:strCache>
                <c:ptCount val="1"/>
                <c:pt idx="0">
                  <c:v>Korjattavaa</c:v>
                </c:pt>
              </c:strCache>
            </c:strRef>
          </c:tx>
          <c:spPr>
            <a:solidFill>
              <a:schemeClr val="accent2"/>
            </a:solidFill>
            <a:ln>
              <a:noFill/>
            </a:ln>
            <a:effectLst/>
          </c:spPr>
          <c:invertIfNegative val="0"/>
          <c:cat>
            <c:strRef>
              <c:f>Tulokset!$C$6:$C$9</c:f>
              <c:strCache>
                <c:ptCount val="4"/>
                <c:pt idx="0">
                  <c:v>Turvallinen ja toimintavarma</c:v>
                </c:pt>
                <c:pt idx="1">
                  <c:v>Kustannustehokas ja organisoitu</c:v>
                </c:pt>
                <c:pt idx="2">
                  <c:v>Kestävä ja kehittyvä</c:v>
                </c:pt>
                <c:pt idx="3">
                  <c:v>Huoltovarmuus</c:v>
                </c:pt>
              </c:strCache>
            </c:strRef>
          </c:cat>
          <c:val>
            <c:numRef>
              <c:f>Tulokset!$F$6:$F$9</c:f>
              <c:numCache>
                <c:formatCode>0%</c:formatCode>
                <c:ptCount val="4"/>
                <c:pt idx="0">
                  <c:v>0</c:v>
                </c:pt>
                <c:pt idx="1">
                  <c:v>0</c:v>
                </c:pt>
                <c:pt idx="2">
                  <c:v>0</c:v>
                </c:pt>
                <c:pt idx="3">
                  <c:v>0</c:v>
                </c:pt>
              </c:numCache>
            </c:numRef>
          </c:val>
          <c:extLst>
            <c:ext xmlns:c16="http://schemas.microsoft.com/office/drawing/2014/chart" uri="{C3380CC4-5D6E-409C-BE32-E72D297353CC}">
              <c16:uniqueId val="{00000001-25EB-41DD-BF0F-999FE8A7E956}"/>
            </c:ext>
          </c:extLst>
        </c:ser>
        <c:dLbls>
          <c:showLegendKey val="0"/>
          <c:showVal val="0"/>
          <c:showCatName val="0"/>
          <c:showSerName val="0"/>
          <c:showPercent val="0"/>
          <c:showBubbleSize val="0"/>
        </c:dLbls>
        <c:gapWidth val="150"/>
        <c:overlap val="100"/>
        <c:axId val="661247088"/>
        <c:axId val="352785024"/>
      </c:barChart>
      <c:catAx>
        <c:axId val="661247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52785024"/>
        <c:crosses val="autoZero"/>
        <c:auto val="1"/>
        <c:lblAlgn val="ctr"/>
        <c:lblOffset val="100"/>
        <c:noMultiLvlLbl val="0"/>
      </c:catAx>
      <c:valAx>
        <c:axId val="352785024"/>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6124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13374B"/>
      </a:solidFill>
      <a:round/>
    </a:ln>
    <a:effectLst/>
  </c:spPr>
  <c:txPr>
    <a:bodyPr/>
    <a:lstStyle/>
    <a:p>
      <a:pPr>
        <a:defRPr sz="1200" baseline="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LV!$B$10"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LV!$G$5" lockText="1" noThreeD="1"/>
</file>

<file path=xl/ctrlProps/ctrlProp6.xml><?xml version="1.0" encoding="utf-8"?>
<formControlPr xmlns="http://schemas.microsoft.com/office/spreadsheetml/2009/9/main" objectType="CheckBox" fmlaLink="LV!$G$6" lockText="1" noThreeD="1"/>
</file>

<file path=xl/ctrlProps/ctrlProp7.xml><?xml version="1.0" encoding="utf-8"?>
<formControlPr xmlns="http://schemas.microsoft.com/office/spreadsheetml/2009/9/main" objectType="CheckBox" fmlaLink="LV!$G$7" lockText="1" noThreeD="1"/>
</file>

<file path=xl/ctrlProps/ctrlProp8.xml><?xml version="1.0" encoding="utf-8"?>
<formControlPr xmlns="http://schemas.microsoft.com/office/spreadsheetml/2009/9/main" objectType="CheckBox" fmlaLink="LV!$G$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7620</xdr:colOff>
      <xdr:row>23</xdr:row>
      <xdr:rowOff>83820</xdr:rowOff>
    </xdr:from>
    <xdr:to>
      <xdr:col>24</xdr:col>
      <xdr:colOff>15240</xdr:colOff>
      <xdr:row>55</xdr:row>
      <xdr:rowOff>160020</xdr:rowOff>
    </xdr:to>
    <xdr:sp macro="" textlink="">
      <xdr:nvSpPr>
        <xdr:cNvPr id="2" name="TextBox 1">
          <a:extLst>
            <a:ext uri="{FF2B5EF4-FFF2-40B4-BE49-F238E27FC236}">
              <a16:creationId xmlns:a16="http://schemas.microsoft.com/office/drawing/2014/main" id="{26DC1977-B897-4CD4-9C70-D9778252AABA}"/>
            </a:ext>
          </a:extLst>
        </xdr:cNvPr>
        <xdr:cNvSpPr txBox="1"/>
      </xdr:nvSpPr>
      <xdr:spPr>
        <a:xfrm>
          <a:off x="297180" y="5029200"/>
          <a:ext cx="13639800" cy="5928360"/>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i-FI" sz="1400" b="1">
              <a:effectLst/>
            </a:rPr>
            <a:t>Lähtötiedot</a:t>
          </a:r>
          <a:endParaRPr lang="fi-FI" b="1">
            <a:effectLst/>
          </a:endParaRPr>
        </a:p>
        <a:p>
          <a:pPr rtl="0"/>
          <a:r>
            <a:rPr lang="fi-FI">
              <a:effectLst/>
            </a:rPr>
            <a:t>Valitse yläpuolelta vesihuoltolaitoksenne kokoa ja toimialaa koskevat kohdat.</a:t>
          </a:r>
          <a:endParaRPr lang="fi-FI" baseline="0">
            <a:effectLst/>
          </a:endParaRPr>
        </a:p>
        <a:p>
          <a:pPr rtl="0"/>
          <a:endParaRPr lang="fi-FI">
            <a:effectLst/>
          </a:endParaRPr>
        </a:p>
        <a:p>
          <a:pPr rtl="0"/>
          <a:r>
            <a:rPr lang="fi-FI" sz="1400" b="1">
              <a:effectLst/>
            </a:rPr>
            <a:t>Vastaaminen</a:t>
          </a:r>
          <a:endParaRPr lang="fi-FI" b="1">
            <a:effectLst/>
          </a:endParaRPr>
        </a:p>
        <a:p>
          <a:pPr rtl="0"/>
          <a:r>
            <a:rPr lang="fi-FI">
              <a:effectLst/>
            </a:rPr>
            <a:t>Kriteerit</a:t>
          </a:r>
          <a:r>
            <a:rPr lang="fi-FI" baseline="0">
              <a:effectLst/>
            </a:rPr>
            <a:t> löytyvät kolmelta eri välilehdeltä, jotka on nimetty kategorioittain. Vastausohje: </a:t>
          </a:r>
          <a:endParaRPr lang="fi-FI">
            <a:effectLst/>
          </a:endParaRPr>
        </a:p>
        <a:p>
          <a:pPr marL="171450" indent="-171450" rtl="0">
            <a:buFont typeface="Arial" panose="020B0604020202020204" pitchFamily="34" charset="0"/>
            <a:buChar char="•"/>
          </a:pPr>
          <a:r>
            <a:rPr lang="fi-FI">
              <a:effectLst/>
            </a:rPr>
            <a:t>Vastaa ”</a:t>
          </a:r>
          <a:r>
            <a:rPr lang="fi-FI" b="1">
              <a:effectLst/>
            </a:rPr>
            <a:t>kyllä</a:t>
          </a:r>
          <a:r>
            <a:rPr lang="fi-FI">
              <a:effectLst/>
            </a:rPr>
            <a:t>”, kun kriteerikysymys kuvaa vesihuoltolaitoksesi tilannetta.</a:t>
          </a:r>
        </a:p>
        <a:p>
          <a:pPr marL="171450" indent="-171450" rtl="0">
            <a:buFont typeface="Arial" panose="020B0604020202020204" pitchFamily="34" charset="0"/>
            <a:buChar char="•"/>
          </a:pPr>
          <a:r>
            <a:rPr lang="fi-FI">
              <a:effectLst/>
            </a:rPr>
            <a:t>Vastaa ”</a:t>
          </a:r>
          <a:r>
            <a:rPr lang="fi-FI" b="1">
              <a:effectLst/>
            </a:rPr>
            <a:t>ei</a:t>
          </a:r>
          <a:r>
            <a:rPr lang="fi-FI">
              <a:effectLst/>
            </a:rPr>
            <a:t>”, mikäli kriteerikysymys ei kuvaa vesihuoltolaitoksesi tilannetta.</a:t>
          </a:r>
        </a:p>
        <a:p>
          <a:pPr marL="171450" indent="-171450" rtl="0">
            <a:buFont typeface="Arial" panose="020B0604020202020204" pitchFamily="34" charset="0"/>
            <a:buChar char="•"/>
          </a:pPr>
          <a:r>
            <a:rPr lang="fi-FI">
              <a:effectLst/>
            </a:rPr>
            <a:t>Vastaa ”</a:t>
          </a:r>
          <a:r>
            <a:rPr lang="fi-FI" b="1">
              <a:effectLst/>
            </a:rPr>
            <a:t>ei koske</a:t>
          </a:r>
          <a:r>
            <a:rPr lang="fi-FI">
              <a:effectLst/>
            </a:rPr>
            <a:t>”, jos kriteerikysymys ei ole koske vesihuoltolaitoksesi toimintaa.</a:t>
          </a:r>
        </a:p>
        <a:p>
          <a:pPr rtl="0"/>
          <a:endParaRPr lang="fi-FI" b="1">
            <a:effectLst/>
          </a:endParaRPr>
        </a:p>
        <a:p>
          <a:pPr rtl="0"/>
          <a:r>
            <a:rPr lang="fi-FI">
              <a:effectLst/>
            </a:rPr>
            <a:t>Näet </a:t>
          </a:r>
          <a:r>
            <a:rPr lang="fi-FI" b="1">
              <a:effectLst/>
            </a:rPr>
            <a:t>mustalla tekstillä</a:t>
          </a:r>
          <a:r>
            <a:rPr lang="fi-FI" b="1" baseline="0">
              <a:effectLst/>
            </a:rPr>
            <a:t> </a:t>
          </a:r>
          <a:r>
            <a:rPr lang="fi-FI" sz="1100">
              <a:solidFill>
                <a:schemeClr val="dk1"/>
              </a:solidFill>
              <a:effectLst/>
              <a:latin typeface="+mn-lt"/>
              <a:ea typeface="+mn-ea"/>
              <a:cs typeface="+mn-cs"/>
            </a:rPr>
            <a:t>kriteerit, jotka koskevat oman kokoluokkasi vesihuoltolaitosta. </a:t>
          </a:r>
          <a:r>
            <a:rPr lang="fi-FI" b="1">
              <a:effectLst/>
            </a:rPr>
            <a:t>Punaisella tekstillä </a:t>
          </a:r>
          <a:r>
            <a:rPr lang="fi-FI">
              <a:effectLst/>
            </a:rPr>
            <a:t>näet kriteerit, jotka koskevat kokoluokkaasi isompia vesihuoltolaitoksia tai ovat luokan 5 kriteereitä, mikä kuvaa erityisen hyvän vesihuollon tasoa. Vastaamalla ”kyllä” näihin kriteereihin, saat lisäpisteen. </a:t>
          </a:r>
          <a:r>
            <a:rPr lang="fi-FI" b="1">
              <a:effectLst/>
            </a:rPr>
            <a:t>Harmaalla tekstillä ja yliviivattuna </a:t>
          </a:r>
          <a:r>
            <a:rPr lang="fi-FI">
              <a:effectLst/>
            </a:rPr>
            <a:t>näet kriteerit,</a:t>
          </a:r>
          <a:r>
            <a:rPr lang="fi-FI" baseline="0">
              <a:effectLst/>
            </a:rPr>
            <a:t> jotka eivät koske teidän vesilaitostanne joko toimialan tai koon perusteella (voit halutessasi suodattaa nämä piiloon). </a:t>
          </a:r>
          <a:endParaRPr lang="fi-FI">
            <a:effectLst/>
          </a:endParaRPr>
        </a:p>
        <a:p>
          <a:pPr rtl="0"/>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Huoltovarmuus-sarakkeessa oleva tähti kertoo kysymyksen liittyvän</a:t>
          </a:r>
          <a:r>
            <a:rPr lang="fi-FI" sz="1100" baseline="0">
              <a:solidFill>
                <a:schemeClr val="dk1"/>
              </a:solidFill>
              <a:effectLst/>
              <a:latin typeface="+mn-lt"/>
              <a:ea typeface="+mn-ea"/>
              <a:cs typeface="+mn-cs"/>
            </a:rPr>
            <a:t> huoltovarmuuteen.</a:t>
          </a:r>
          <a:endParaRPr lang="en-GB">
            <a:effectLst/>
          </a:endParaRPr>
        </a:p>
        <a:p>
          <a:pPr rtl="0"/>
          <a:r>
            <a:rPr lang="fi-FI" b="1">
              <a:effectLst/>
            </a:rPr>
            <a:t>Muista:</a:t>
          </a:r>
          <a:r>
            <a:rPr lang="fi-FI">
              <a:effectLst/>
            </a:rPr>
            <a:t> Huoltovarmuuskriteerit voivat tuoda esiin vesihuoltolaitoksen haavoittuvuuksia, joten kriteerikohtaiset tulokset ovat lähtökohtaisesti luottamuksellista tietoa, eikä niitä pidä esittää julkisesti.</a:t>
          </a:r>
        </a:p>
        <a:p>
          <a:pPr rtl="0"/>
          <a:endParaRPr lang="fi-FI">
            <a:effectLst/>
          </a:endParaRPr>
        </a:p>
        <a:p>
          <a:pPr rtl="0"/>
          <a:r>
            <a:rPr lang="fi-FI" b="1">
              <a:effectLst/>
            </a:rPr>
            <a:t>Lisätietoa</a:t>
          </a:r>
          <a:r>
            <a:rPr lang="fi-FI">
              <a:effectLst/>
            </a:rPr>
            <a:t>: Hyvän vesihuollon kriteereistä lisätietoa ja ohjeita löytyy Vesilaitosyhdistyksen nettisivuilta kohdasta </a:t>
          </a:r>
          <a:r>
            <a:rPr lang="fi-FI" sz="1100" u="sng">
              <a:solidFill>
                <a:schemeClr val="dk1"/>
              </a:solidFill>
              <a:effectLst/>
              <a:latin typeface="+mn-lt"/>
              <a:ea typeface="+mn-ea"/>
              <a:cs typeface="+mn-cs"/>
              <a:hlinkClick xmlns:r="http://schemas.openxmlformats.org/officeDocument/2006/relationships" r:id=""/>
            </a:rPr>
            <a:t>www.vesilaitosyhdistys.fi</a:t>
          </a:r>
          <a:r>
            <a:rPr lang="fi-FI">
              <a:effectLst/>
            </a:rPr>
            <a:t> &gt; Kehittäminen ja tutkimus &gt; Hyvän vesihuollon kriteerit -työkalu</a:t>
          </a:r>
        </a:p>
        <a:p>
          <a:pPr rtl="0" eaLnBrk="1" fontAlgn="auto" latinLnBrk="0" hangingPunct="1"/>
          <a:endParaRPr lang="fi-FI" sz="1100" b="1" baseline="0">
            <a:solidFill>
              <a:schemeClr val="dk1"/>
            </a:solidFill>
            <a:effectLst/>
            <a:latin typeface="+mn-lt"/>
            <a:ea typeface="+mn-ea"/>
            <a:cs typeface="+mn-cs"/>
          </a:endParaRPr>
        </a:p>
        <a:p>
          <a:pPr rtl="0" eaLnBrk="1" fontAlgn="auto" latinLnBrk="0" hangingPunct="1"/>
          <a:r>
            <a:rPr lang="fi-FI" sz="1400" b="1" baseline="0">
              <a:solidFill>
                <a:schemeClr val="dk1"/>
              </a:solidFill>
              <a:effectLst/>
              <a:latin typeface="+mn-lt"/>
              <a:ea typeface="+mn-ea"/>
              <a:cs typeface="+mn-cs"/>
            </a:rPr>
            <a:t>Tulokset</a:t>
          </a:r>
          <a:br>
            <a:rPr lang="fi-FI" sz="1400" b="1" baseline="0">
              <a:solidFill>
                <a:schemeClr val="dk1"/>
              </a:solidFill>
              <a:effectLst/>
              <a:latin typeface="+mn-lt"/>
              <a:ea typeface="+mn-ea"/>
              <a:cs typeface="+mn-cs"/>
            </a:rPr>
          </a:br>
          <a:r>
            <a:rPr lang="fi-FI" sz="1100" b="1" baseline="0">
              <a:solidFill>
                <a:schemeClr val="dk1"/>
              </a:solidFill>
              <a:effectLst/>
              <a:latin typeface="+mn-lt"/>
              <a:ea typeface="+mn-ea"/>
              <a:cs typeface="+mn-cs"/>
            </a:rPr>
            <a:t>Tulokset</a:t>
          </a:r>
          <a:r>
            <a:rPr lang="fi-FI" sz="1100" baseline="0">
              <a:solidFill>
                <a:schemeClr val="dk1"/>
              </a:solidFill>
              <a:effectLst/>
              <a:latin typeface="+mn-lt"/>
              <a:ea typeface="+mn-ea"/>
              <a:cs typeface="+mn-cs"/>
            </a:rPr>
            <a:t>-välilehdellä saat raportin tuloksista. Tulokset päivittyvät reaaliaikaisesti, joten voit katsoa tuloksia, vaikka kaikkiin kysymyksiin ei olisi vielä vastattu.</a:t>
          </a:r>
          <a:endParaRPr lang="en-GB">
            <a:effectLst/>
          </a:endParaRPr>
        </a:p>
        <a:p>
          <a:pPr rtl="0"/>
          <a:r>
            <a:rPr lang="fi-FI" sz="1100" b="1" baseline="0">
              <a:solidFill>
                <a:schemeClr val="dk1"/>
              </a:solidFill>
              <a:effectLst/>
              <a:latin typeface="+mn-lt"/>
              <a:ea typeface="+mn-ea"/>
              <a:cs typeface="+mn-cs"/>
            </a:rPr>
            <a:t>Korjattavaa</a:t>
          </a:r>
          <a:r>
            <a:rPr lang="fi-FI" sz="1100" baseline="0">
              <a:solidFill>
                <a:schemeClr val="dk1"/>
              </a:solidFill>
              <a:effectLst/>
              <a:latin typeface="+mn-lt"/>
              <a:ea typeface="+mn-ea"/>
              <a:cs typeface="+mn-cs"/>
            </a:rPr>
            <a:t>-välilehdeltä näet listauksen korjauskohteista, jotka tulivat kysymyksissä vastaan. </a:t>
          </a:r>
          <a:endParaRPr lang="en-GB">
            <a:effectLst/>
          </a:endParaRPr>
        </a:p>
        <a:p>
          <a:pPr rtl="0"/>
          <a:r>
            <a:rPr lang="fi-FI" sz="1100" b="1" baseline="0">
              <a:solidFill>
                <a:schemeClr val="dk1"/>
              </a:solidFill>
              <a:effectLst/>
              <a:latin typeface="+mn-lt"/>
              <a:ea typeface="+mn-ea"/>
              <a:cs typeface="+mn-cs"/>
            </a:rPr>
            <a:t>Koontisivu</a:t>
          </a:r>
          <a:r>
            <a:rPr lang="fi-FI" sz="1100" b="0" baseline="0">
              <a:solidFill>
                <a:schemeClr val="dk1"/>
              </a:solidFill>
              <a:effectLst/>
              <a:latin typeface="+mn-lt"/>
              <a:ea typeface="+mn-ea"/>
              <a:cs typeface="+mn-cs"/>
            </a:rPr>
            <a:t>-välilehdellä on koottuna kaikki vastaukset tarkemmalla datalla esim. konsulttien datakeruuta (ja heidän tekemäänsä yhteenvetoraporttia) varten. </a:t>
          </a:r>
          <a:endParaRPr lang="en-GB">
            <a:effectLst/>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200" b="1">
              <a:solidFill>
                <a:schemeClr val="dk1"/>
              </a:solidFill>
              <a:effectLst/>
              <a:latin typeface="+mn-lt"/>
              <a:ea typeface="+mn-ea"/>
              <a:cs typeface="+mn-cs"/>
            </a:rPr>
            <a:t>Tulosten</a:t>
          </a:r>
          <a:r>
            <a:rPr lang="en-US" sz="1200" b="1" baseline="0">
              <a:solidFill>
                <a:schemeClr val="dk1"/>
              </a:solidFill>
              <a:effectLst/>
              <a:latin typeface="+mn-lt"/>
              <a:ea typeface="+mn-ea"/>
              <a:cs typeface="+mn-cs"/>
            </a:rPr>
            <a:t> tallennus itsearvioinnin jälkeen</a:t>
          </a:r>
          <a:endParaRPr lang="en-GB" sz="1200">
            <a:effectLst/>
          </a:endParaRPr>
        </a:p>
        <a:p>
          <a:r>
            <a:rPr lang="en-US" sz="1100" b="0" baseline="0">
              <a:solidFill>
                <a:schemeClr val="dk1"/>
              </a:solidFill>
              <a:effectLst/>
              <a:latin typeface="+mn-lt"/>
              <a:ea typeface="+mn-ea"/>
              <a:cs typeface="+mn-cs"/>
            </a:rPr>
            <a:t>Kun olet valmis itsearviointilomakkeen kanssa, voit tallentaa tulokset sisältävän Excel-tiedoston itsellesi. Excel on oletusarvoisesti "Vain luku"-tilassa, jotta voit säilyttää alkuperäisen Excelin tyhjänä seuraavia arviointikertoja varten. </a:t>
          </a:r>
          <a:br>
            <a:rPr lang="en-US" sz="1100" b="0" baseline="0">
              <a:solidFill>
                <a:schemeClr val="dk1"/>
              </a:solidFill>
              <a:effectLst/>
              <a:latin typeface="+mn-lt"/>
              <a:ea typeface="+mn-ea"/>
              <a:cs typeface="+mn-cs"/>
            </a:rPr>
          </a:b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Tee tulosten tallennus seuraavasti: </a:t>
          </a:r>
          <a:endParaRPr lang="en-GB">
            <a:effectLst/>
          </a:endParaRPr>
        </a:p>
        <a:p>
          <a:r>
            <a:rPr lang="en-US" sz="1100" b="0" baseline="0">
              <a:solidFill>
                <a:schemeClr val="dk1"/>
              </a:solidFill>
              <a:effectLst/>
              <a:latin typeface="+mn-lt"/>
              <a:ea typeface="+mn-ea"/>
              <a:cs typeface="+mn-cs"/>
            </a:rPr>
            <a:t>1. </a:t>
          </a:r>
          <a:r>
            <a:rPr lang="fi-FI" sz="1100">
              <a:solidFill>
                <a:schemeClr val="dk1"/>
              </a:solidFill>
              <a:effectLst/>
              <a:latin typeface="+mn-lt"/>
              <a:ea typeface="+mn-ea"/>
              <a:cs typeface="+mn-cs"/>
            </a:rPr>
            <a:t>Napsauta ylävalikosta "Tiedosto" (File) ja valitse "Tallenna nimellä" (Save As).</a:t>
          </a:r>
          <a:endParaRPr lang="en-GB">
            <a:effectLst/>
          </a:endParaRPr>
        </a:p>
        <a:p>
          <a:r>
            <a:rPr lang="en-US" sz="1100" b="0" baseline="0">
              <a:solidFill>
                <a:schemeClr val="dk1"/>
              </a:solidFill>
              <a:effectLst/>
              <a:latin typeface="+mn-lt"/>
              <a:ea typeface="+mn-ea"/>
              <a:cs typeface="+mn-cs"/>
            </a:rPr>
            <a:t>2. "</a:t>
          </a:r>
          <a:r>
            <a:rPr lang="fi-FI" sz="1100">
              <a:solidFill>
                <a:schemeClr val="dk1"/>
              </a:solidFill>
              <a:effectLst/>
              <a:latin typeface="+mn-lt"/>
              <a:ea typeface="+mn-ea"/>
              <a:cs typeface="+mn-cs"/>
            </a:rPr>
            <a:t>Tallenna nimellä" -valikossa anna tulokset</a:t>
          </a:r>
          <a:r>
            <a:rPr lang="fi-FI" sz="1100" baseline="0">
              <a:solidFill>
                <a:schemeClr val="dk1"/>
              </a:solidFill>
              <a:effectLst/>
              <a:latin typeface="+mn-lt"/>
              <a:ea typeface="+mn-ea"/>
              <a:cs typeface="+mn-cs"/>
            </a:rPr>
            <a:t> sisältävälle </a:t>
          </a:r>
          <a:r>
            <a:rPr lang="fi-FI" sz="1100">
              <a:solidFill>
                <a:schemeClr val="dk1"/>
              </a:solidFill>
              <a:effectLst/>
              <a:latin typeface="+mn-lt"/>
              <a:ea typeface="+mn-ea"/>
              <a:cs typeface="+mn-cs"/>
            </a:rPr>
            <a:t>Excelille uusi nimi esimerkiksi liittämällä nimeen täyttöpäivämäärä "20260219_Itsearviointilomake".</a:t>
          </a:r>
          <a:endParaRPr lang="en-GB">
            <a:effectLst/>
          </a:endParaRPr>
        </a:p>
        <a:p>
          <a:r>
            <a:rPr lang="fi-FI" sz="1100">
              <a:solidFill>
                <a:schemeClr val="dk1"/>
              </a:solidFill>
              <a:effectLst/>
              <a:latin typeface="+mn-lt"/>
              <a:ea typeface="+mn-ea"/>
              <a:cs typeface="+mn-cs"/>
            </a:rPr>
            <a:t>4. Napsauta "Tallenna" (Save). Vahvista tallennus.</a:t>
          </a:r>
          <a:endParaRPr lang="en-GB">
            <a:effectLst/>
          </a:endParaRPr>
        </a:p>
        <a:p>
          <a:r>
            <a:rPr lang="en-US" sz="1100"/>
            <a:t>Tämä on 25.5.2026 korjattu versio./ST</a:t>
          </a:r>
        </a:p>
      </xdr:txBody>
    </xdr:sp>
    <xdr:clientData/>
  </xdr:twoCellAnchor>
  <xdr:twoCellAnchor editAs="oneCell">
    <xdr:from>
      <xdr:col>0</xdr:col>
      <xdr:colOff>0</xdr:colOff>
      <xdr:row>0</xdr:row>
      <xdr:rowOff>121920</xdr:rowOff>
    </xdr:from>
    <xdr:to>
      <xdr:col>12</xdr:col>
      <xdr:colOff>133138</xdr:colOff>
      <xdr:row>7</xdr:row>
      <xdr:rowOff>87854</xdr:rowOff>
    </xdr:to>
    <xdr:pic>
      <xdr:nvPicPr>
        <xdr:cNvPr id="5" name="Picture 4">
          <a:extLst>
            <a:ext uri="{FF2B5EF4-FFF2-40B4-BE49-F238E27FC236}">
              <a16:creationId xmlns:a16="http://schemas.microsoft.com/office/drawing/2014/main" id="{8B07B0F3-7F8A-47FE-8091-4E6F0705B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6739678" cy="124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2</xdr:col>
          <xdr:colOff>38100</xdr:colOff>
          <xdr:row>13</xdr:row>
          <xdr:rowOff>219075</xdr:rowOff>
        </xdr:from>
        <xdr:to>
          <xdr:col>3</xdr:col>
          <xdr:colOff>38100</xdr:colOff>
          <xdr:row>15</xdr:row>
          <xdr:rowOff>0</xdr:rowOff>
        </xdr:to>
        <xdr:sp macro="" textlink="">
          <xdr:nvSpPr>
            <xdr:cNvPr id="1025" name="Option Button 1" descr="Luokka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14</xdr:row>
          <xdr:rowOff>257175</xdr:rowOff>
        </xdr:from>
        <xdr:to>
          <xdr:col>3</xdr:col>
          <xdr:colOff>28575</xdr:colOff>
          <xdr:row>16</xdr:row>
          <xdr:rowOff>0</xdr:rowOff>
        </xdr:to>
        <xdr:sp macro="" textlink="">
          <xdr:nvSpPr>
            <xdr:cNvPr id="1026" name="Option Button 2" descr="Luokka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15</xdr:row>
          <xdr:rowOff>219075</xdr:rowOff>
        </xdr:from>
        <xdr:to>
          <xdr:col>3</xdr:col>
          <xdr:colOff>76200</xdr:colOff>
          <xdr:row>17</xdr:row>
          <xdr:rowOff>47625</xdr:rowOff>
        </xdr:to>
        <xdr:sp macro="" textlink="">
          <xdr:nvSpPr>
            <xdr:cNvPr id="1027" name="Option Button 3" descr="Luokka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16</xdr:row>
          <xdr:rowOff>238125</xdr:rowOff>
        </xdr:from>
        <xdr:to>
          <xdr:col>3</xdr:col>
          <xdr:colOff>28575</xdr:colOff>
          <xdr:row>18</xdr:row>
          <xdr:rowOff>0</xdr:rowOff>
        </xdr:to>
        <xdr:sp macro="" textlink="">
          <xdr:nvSpPr>
            <xdr:cNvPr id="1028" name="Option Button 4" descr="Luokka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28575</xdr:colOff>
          <xdr:row>13</xdr:row>
          <xdr:rowOff>190500</xdr:rowOff>
        </xdr:from>
        <xdr:to>
          <xdr:col>7</xdr:col>
          <xdr:colOff>276225</xdr:colOff>
          <xdr:row>15</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28575</xdr:colOff>
          <xdr:row>14</xdr:row>
          <xdr:rowOff>200025</xdr:rowOff>
        </xdr:from>
        <xdr:to>
          <xdr:col>8</xdr:col>
          <xdr:colOff>0</xdr:colOff>
          <xdr:row>16</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28575</xdr:colOff>
          <xdr:row>15</xdr:row>
          <xdr:rowOff>161925</xdr:rowOff>
        </xdr:from>
        <xdr:to>
          <xdr:col>7</xdr:col>
          <xdr:colOff>276225</xdr:colOff>
          <xdr:row>17</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28575</xdr:colOff>
          <xdr:row>16</xdr:row>
          <xdr:rowOff>180975</xdr:rowOff>
        </xdr:from>
        <xdr:to>
          <xdr:col>8</xdr:col>
          <xdr:colOff>9525</xdr:colOff>
          <xdr:row>18</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15</xdr:col>
      <xdr:colOff>114300</xdr:colOff>
      <xdr:row>14</xdr:row>
      <xdr:rowOff>160021</xdr:rowOff>
    </xdr:from>
    <xdr:to>
      <xdr:col>24</xdr:col>
      <xdr:colOff>205740</xdr:colOff>
      <xdr:row>20</xdr:row>
      <xdr:rowOff>144781</xdr:rowOff>
    </xdr:to>
    <mc:AlternateContent xmlns:mc="http://schemas.openxmlformats.org/markup-compatibility/2006" xmlns:sle15="http://schemas.microsoft.com/office/drawing/2012/slicer">
      <mc:Choice Requires="sle15">
        <xdr:graphicFrame macro="">
          <xdr:nvGraphicFramePr>
            <xdr:cNvPr id="2" name="Kuuluuko kriteeri kyseisen laitoksen vastattavaksi 1">
              <a:extLst>
                <a:ext uri="{FF2B5EF4-FFF2-40B4-BE49-F238E27FC236}">
                  <a16:creationId xmlns:a16="http://schemas.microsoft.com/office/drawing/2014/main" id="{6187DDB9-2819-45AF-B866-2392B8DA4609}"/>
                </a:ext>
              </a:extLst>
            </xdr:cNvPr>
            <xdr:cNvGraphicFramePr/>
          </xdr:nvGraphicFramePr>
          <xdr:xfrm>
            <a:off x="0" y="0"/>
            <a:ext cx="0" cy="0"/>
          </xdr:xfrm>
          <a:graphic>
            <a:graphicData uri="http://schemas.microsoft.com/office/drawing/2010/slicer">
              <sle:slicer xmlns:sle="http://schemas.microsoft.com/office/drawing/2010/slicer" name="Kuuluuko kriteeri kyseisen laitoksen vastattavaksi 1"/>
            </a:graphicData>
          </a:graphic>
        </xdr:graphicFrame>
      </mc:Choice>
      <mc:Fallback xmlns="">
        <xdr:sp macro="" textlink="">
          <xdr:nvSpPr>
            <xdr:cNvPr id="0" name=""/>
            <xdr:cNvSpPr>
              <a:spLocks noTextEdit="1"/>
            </xdr:cNvSpPr>
          </xdr:nvSpPr>
          <xdr:spPr>
            <a:xfrm>
              <a:off x="17731740" y="2354581"/>
              <a:ext cx="5577840" cy="10820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15</xdr:col>
      <xdr:colOff>114300</xdr:colOff>
      <xdr:row>28</xdr:row>
      <xdr:rowOff>45720</xdr:rowOff>
    </xdr:from>
    <xdr:to>
      <xdr:col>24</xdr:col>
      <xdr:colOff>236220</xdr:colOff>
      <xdr:row>51</xdr:row>
      <xdr:rowOff>152400</xdr:rowOff>
    </xdr:to>
    <mc:AlternateContent xmlns:mc="http://schemas.openxmlformats.org/markup-compatibility/2006" xmlns:sle15="http://schemas.microsoft.com/office/drawing/2012/slicer">
      <mc:Choice Requires="sle15">
        <xdr:graphicFrame macro="">
          <xdr:nvGraphicFramePr>
            <xdr:cNvPr id="3" name="Alakategoria 1">
              <a:extLst>
                <a:ext uri="{FF2B5EF4-FFF2-40B4-BE49-F238E27FC236}">
                  <a16:creationId xmlns:a16="http://schemas.microsoft.com/office/drawing/2014/main" id="{33BBEAFA-FC35-4748-B31B-841E96AE58A7}"/>
                </a:ext>
              </a:extLst>
            </xdr:cNvPr>
            <xdr:cNvGraphicFramePr/>
          </xdr:nvGraphicFramePr>
          <xdr:xfrm>
            <a:off x="0" y="0"/>
            <a:ext cx="0" cy="0"/>
          </xdr:xfrm>
          <a:graphic>
            <a:graphicData uri="http://schemas.microsoft.com/office/drawing/2010/slicer">
              <sle:slicer xmlns:sle="http://schemas.microsoft.com/office/drawing/2010/slicer" name="Alakategoria 1"/>
            </a:graphicData>
          </a:graphic>
        </xdr:graphicFrame>
      </mc:Choice>
      <mc:Fallback xmlns="">
        <xdr:sp macro="" textlink="">
          <xdr:nvSpPr>
            <xdr:cNvPr id="0" name=""/>
            <xdr:cNvSpPr>
              <a:spLocks noTextEdit="1"/>
            </xdr:cNvSpPr>
          </xdr:nvSpPr>
          <xdr:spPr>
            <a:xfrm>
              <a:off x="17731740" y="4800600"/>
              <a:ext cx="5608320" cy="38862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15</xdr:col>
      <xdr:colOff>106680</xdr:colOff>
      <xdr:row>0</xdr:row>
      <xdr:rowOff>83820</xdr:rowOff>
    </xdr:from>
    <xdr:to>
      <xdr:col>24</xdr:col>
      <xdr:colOff>198120</xdr:colOff>
      <xdr:row>12</xdr:row>
      <xdr:rowOff>160020</xdr:rowOff>
    </xdr:to>
    <xdr:sp macro="" textlink="">
      <xdr:nvSpPr>
        <xdr:cNvPr id="4" name="TextBox 3">
          <a:extLst>
            <a:ext uri="{FF2B5EF4-FFF2-40B4-BE49-F238E27FC236}">
              <a16:creationId xmlns:a16="http://schemas.microsoft.com/office/drawing/2014/main" id="{A117CCBC-8E7B-45F9-AF18-CA93864F26CB}"/>
            </a:ext>
          </a:extLst>
        </xdr:cNvPr>
        <xdr:cNvSpPr txBox="1"/>
      </xdr:nvSpPr>
      <xdr:spPr>
        <a:xfrm>
          <a:off x="17724120" y="83820"/>
          <a:ext cx="5577840" cy="20878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Ohje</a:t>
          </a:r>
        </a:p>
        <a:p>
          <a:r>
            <a:rPr lang="en-GB" sz="1100" b="0"/>
            <a:t>Listauksessa näkyy oletusarvoisesti kaikki kriteerit (vain</a:t>
          </a:r>
          <a:r>
            <a:rPr lang="en-GB" sz="1100" b="0" baseline="0"/>
            <a:t> staattisena pysyvät otsikkorivit on suodatettu pois).</a:t>
          </a:r>
          <a:endParaRPr lang="en-GB" sz="1100" b="0"/>
        </a:p>
        <a:p>
          <a:r>
            <a:rPr lang="en-GB" sz="1100" b="0"/>
            <a:t>Jos haluat piilottaa sellaise</a:t>
          </a:r>
          <a:r>
            <a:rPr lang="en-GB" sz="1100" b="0" baseline="0"/>
            <a:t>t kriteeririvit, jotka eivät koske vastannutta laitosta -&gt; </a:t>
          </a:r>
          <a:br>
            <a:rPr lang="en-GB" sz="1100" b="0" baseline="0"/>
          </a:br>
          <a:r>
            <a:rPr lang="en-GB" sz="1100" b="1" baseline="0"/>
            <a:t>Valitse alla olevasta "Kuuluuko kriteeri kyseisen laitoksen vastattavaksi"-suodattimesta = "Kuuluu"</a:t>
          </a:r>
        </a:p>
        <a:p>
          <a:br>
            <a:rPr lang="en-GB" sz="1100" b="1" baseline="0"/>
          </a:br>
          <a:r>
            <a:rPr lang="en-GB" sz="1100" b="0" baseline="0"/>
            <a:t>Vaihtoehtoisesti saat suodatettua "Ei kuulu"-datan pois myös myöhemmin, kun eri laitosten datat on kerätty yhteen suodattamaalla taulukon A-sarakkeessa näkyvää "Kuuluuko kriteeri kyseisen laitoksen vastattavaksi"-kenttää. </a:t>
          </a:r>
          <a:endParaRPr lang="en-GB" sz="1100" b="0"/>
        </a:p>
      </xdr:txBody>
    </xdr:sp>
    <xdr:clientData/>
  </xdr:twoCellAnchor>
  <xdr:twoCellAnchor>
    <xdr:from>
      <xdr:col>15</xdr:col>
      <xdr:colOff>106680</xdr:colOff>
      <xdr:row>23</xdr:row>
      <xdr:rowOff>144780</xdr:rowOff>
    </xdr:from>
    <xdr:to>
      <xdr:col>24</xdr:col>
      <xdr:colOff>198120</xdr:colOff>
      <xdr:row>27</xdr:row>
      <xdr:rowOff>129540</xdr:rowOff>
    </xdr:to>
    <xdr:sp macro="" textlink="">
      <xdr:nvSpPr>
        <xdr:cNvPr id="5" name="TextBox 4">
          <a:extLst>
            <a:ext uri="{FF2B5EF4-FFF2-40B4-BE49-F238E27FC236}">
              <a16:creationId xmlns:a16="http://schemas.microsoft.com/office/drawing/2014/main" id="{FAC3F15F-DF92-4ECD-B5FD-ED0614672C26}"/>
            </a:ext>
          </a:extLst>
        </xdr:cNvPr>
        <xdr:cNvSpPr txBox="1"/>
      </xdr:nvSpPr>
      <xdr:spPr>
        <a:xfrm>
          <a:off x="17724120" y="3985260"/>
          <a:ext cx="5577840" cy="7162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Alla näkyvä suodatin piilottaa</a:t>
          </a:r>
          <a:r>
            <a:rPr lang="en-GB" sz="1100" b="0" baseline="0"/>
            <a:t> oletusarvoisesti taulukosta otsikkorivit = kaikki muut arvot ovat valittuina paitsi "_Otsikkorivi". </a:t>
          </a:r>
          <a:r>
            <a:rPr lang="en-GB" sz="1100" b="1" baseline="0"/>
            <a:t>Jos ylimäpänä näkyvä _Otsikkorivi-valinta näkyy erivärisellä pohjalla kuin loput valinnat -&gt; suodatus on voimassa ja sinun ei tarvitse tehdä mitään. </a:t>
          </a:r>
          <a:endParaRPr lang="en-GB" sz="1100" b="1"/>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15</xdr:col>
      <xdr:colOff>114300</xdr:colOff>
      <xdr:row>14</xdr:row>
      <xdr:rowOff>160021</xdr:rowOff>
    </xdr:from>
    <xdr:to>
      <xdr:col>24</xdr:col>
      <xdr:colOff>205740</xdr:colOff>
      <xdr:row>20</xdr:row>
      <xdr:rowOff>144781</xdr:rowOff>
    </xdr:to>
    <mc:AlternateContent xmlns:mc="http://schemas.openxmlformats.org/markup-compatibility/2006" xmlns:sle15="http://schemas.microsoft.com/office/drawing/2012/slicer">
      <mc:Choice Requires="sle15">
        <xdr:graphicFrame macro="">
          <xdr:nvGraphicFramePr>
            <xdr:cNvPr id="2" name="Kuuluuko kriteeri kyseisen laitoksen vastattavaksi">
              <a:extLst>
                <a:ext uri="{FF2B5EF4-FFF2-40B4-BE49-F238E27FC236}">
                  <a16:creationId xmlns:a16="http://schemas.microsoft.com/office/drawing/2014/main" id="{314E98EC-535F-DFE1-5B66-5CA85294F9C6}"/>
                </a:ext>
              </a:extLst>
            </xdr:cNvPr>
            <xdr:cNvGraphicFramePr/>
          </xdr:nvGraphicFramePr>
          <xdr:xfrm>
            <a:off x="0" y="0"/>
            <a:ext cx="0" cy="0"/>
          </xdr:xfrm>
          <a:graphic>
            <a:graphicData uri="http://schemas.microsoft.com/office/drawing/2010/slicer">
              <sle:slicer xmlns:sle="http://schemas.microsoft.com/office/drawing/2010/slicer" name="Kuuluuko kriteeri kyseisen laitoksen vastattavaksi"/>
            </a:graphicData>
          </a:graphic>
        </xdr:graphicFrame>
      </mc:Choice>
      <mc:Fallback xmlns="">
        <xdr:sp macro="" textlink="">
          <xdr:nvSpPr>
            <xdr:cNvPr id="0" name=""/>
            <xdr:cNvSpPr>
              <a:spLocks noTextEdit="1"/>
            </xdr:cNvSpPr>
          </xdr:nvSpPr>
          <xdr:spPr>
            <a:xfrm>
              <a:off x="17731740" y="2354581"/>
              <a:ext cx="5577840" cy="10820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15</xdr:col>
      <xdr:colOff>114300</xdr:colOff>
      <xdr:row>28</xdr:row>
      <xdr:rowOff>45720</xdr:rowOff>
    </xdr:from>
    <xdr:to>
      <xdr:col>24</xdr:col>
      <xdr:colOff>236220</xdr:colOff>
      <xdr:row>51</xdr:row>
      <xdr:rowOff>175260</xdr:rowOff>
    </xdr:to>
    <mc:AlternateContent xmlns:mc="http://schemas.openxmlformats.org/markup-compatibility/2006" xmlns:sle15="http://schemas.microsoft.com/office/drawing/2012/slicer">
      <mc:Choice Requires="sle15">
        <xdr:graphicFrame macro="">
          <xdr:nvGraphicFramePr>
            <xdr:cNvPr id="5" name="Alakategoria">
              <a:extLst>
                <a:ext uri="{FF2B5EF4-FFF2-40B4-BE49-F238E27FC236}">
                  <a16:creationId xmlns:a16="http://schemas.microsoft.com/office/drawing/2014/main" id="{0F835128-CD28-EECC-9C1F-DDCAC10DD921}"/>
                </a:ext>
              </a:extLst>
            </xdr:cNvPr>
            <xdr:cNvGraphicFramePr/>
          </xdr:nvGraphicFramePr>
          <xdr:xfrm>
            <a:off x="0" y="0"/>
            <a:ext cx="0" cy="0"/>
          </xdr:xfrm>
          <a:graphic>
            <a:graphicData uri="http://schemas.microsoft.com/office/drawing/2010/slicer">
              <sle:slicer xmlns:sle="http://schemas.microsoft.com/office/drawing/2010/slicer" name="Alakategoria"/>
            </a:graphicData>
          </a:graphic>
        </xdr:graphicFrame>
      </mc:Choice>
      <mc:Fallback xmlns="">
        <xdr:sp macro="" textlink="">
          <xdr:nvSpPr>
            <xdr:cNvPr id="0" name=""/>
            <xdr:cNvSpPr>
              <a:spLocks noTextEdit="1"/>
            </xdr:cNvSpPr>
          </xdr:nvSpPr>
          <xdr:spPr>
            <a:xfrm>
              <a:off x="17731740" y="4800600"/>
              <a:ext cx="5608320" cy="38862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15</xdr:col>
      <xdr:colOff>106680</xdr:colOff>
      <xdr:row>0</xdr:row>
      <xdr:rowOff>83820</xdr:rowOff>
    </xdr:from>
    <xdr:to>
      <xdr:col>24</xdr:col>
      <xdr:colOff>198120</xdr:colOff>
      <xdr:row>12</xdr:row>
      <xdr:rowOff>160020</xdr:rowOff>
    </xdr:to>
    <xdr:sp macro="" textlink="">
      <xdr:nvSpPr>
        <xdr:cNvPr id="6" name="TextBox 5">
          <a:extLst>
            <a:ext uri="{FF2B5EF4-FFF2-40B4-BE49-F238E27FC236}">
              <a16:creationId xmlns:a16="http://schemas.microsoft.com/office/drawing/2014/main" id="{06B80AB4-F06B-F34E-FFF0-B42A1A69DB86}"/>
            </a:ext>
          </a:extLst>
        </xdr:cNvPr>
        <xdr:cNvSpPr txBox="1"/>
      </xdr:nvSpPr>
      <xdr:spPr>
        <a:xfrm>
          <a:off x="17724120" y="83820"/>
          <a:ext cx="5577840" cy="22707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Ohje</a:t>
          </a:r>
        </a:p>
        <a:p>
          <a:r>
            <a:rPr lang="en-GB" sz="1100" b="0"/>
            <a:t>Listauksessa näkyy oletusarvoisesti kaikki kriteerit (vain</a:t>
          </a:r>
          <a:r>
            <a:rPr lang="en-GB" sz="1100" b="0" baseline="0"/>
            <a:t> staattisena pysyvät otsikkorivit on suodatettu pois).</a:t>
          </a:r>
          <a:endParaRPr lang="en-GB" sz="1100" b="0"/>
        </a:p>
        <a:p>
          <a:r>
            <a:rPr lang="en-GB" sz="1100" b="0"/>
            <a:t>Jos haluat piilottaa sellaise</a:t>
          </a:r>
          <a:r>
            <a:rPr lang="en-GB" sz="1100" b="0" baseline="0"/>
            <a:t>t kriteeririvit, jotka eivät koske vastannutta laitosta -&gt; </a:t>
          </a:r>
          <a:br>
            <a:rPr lang="en-GB" sz="1100" b="0" baseline="0"/>
          </a:br>
          <a:r>
            <a:rPr lang="en-GB" sz="1100" b="1" baseline="0"/>
            <a:t>Valitse alla olevasta "Kuuluuko kriteeri kyseisen laitoksen vastattavaksi"-suodattimesta = "Kuuluu"</a:t>
          </a:r>
        </a:p>
        <a:p>
          <a:br>
            <a:rPr lang="en-GB" sz="1100" b="1" baseline="0"/>
          </a:br>
          <a:r>
            <a:rPr lang="en-GB" sz="1100" b="0" baseline="0"/>
            <a:t>Vaihtoehtoisesti saat suodatettua "Ei kuulu"-datan pois myös myöhemmin, kun eri laitosten datat on kerätty yhteen suodattamaalla taulukon A-sarakkeessa näkyvää "Kuuluuko kriteeri kyseisen laitoksen vastattavaksi"-kenttää. </a:t>
          </a:r>
          <a:endParaRPr lang="en-GB" sz="1100" b="0"/>
        </a:p>
      </xdr:txBody>
    </xdr:sp>
    <xdr:clientData/>
  </xdr:twoCellAnchor>
  <xdr:twoCellAnchor>
    <xdr:from>
      <xdr:col>15</xdr:col>
      <xdr:colOff>106680</xdr:colOff>
      <xdr:row>23</xdr:row>
      <xdr:rowOff>144780</xdr:rowOff>
    </xdr:from>
    <xdr:to>
      <xdr:col>24</xdr:col>
      <xdr:colOff>198120</xdr:colOff>
      <xdr:row>27</xdr:row>
      <xdr:rowOff>129540</xdr:rowOff>
    </xdr:to>
    <xdr:sp macro="" textlink="">
      <xdr:nvSpPr>
        <xdr:cNvPr id="7" name="TextBox 6">
          <a:extLst>
            <a:ext uri="{FF2B5EF4-FFF2-40B4-BE49-F238E27FC236}">
              <a16:creationId xmlns:a16="http://schemas.microsoft.com/office/drawing/2014/main" id="{9F3DE40A-8951-4A45-B15F-F151190EF7B9}"/>
            </a:ext>
          </a:extLst>
        </xdr:cNvPr>
        <xdr:cNvSpPr txBox="1"/>
      </xdr:nvSpPr>
      <xdr:spPr>
        <a:xfrm>
          <a:off x="17724120" y="4351020"/>
          <a:ext cx="5577840" cy="71628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Alla näkyvä suodatin piilottaa</a:t>
          </a:r>
          <a:r>
            <a:rPr lang="en-GB" sz="1100" b="0" baseline="0"/>
            <a:t> oletusarvoisesti taulukosta otsikkorivit = kaikki muut arvot ovat valittuina paitsi "_Otsikkorivi". </a:t>
          </a:r>
          <a:r>
            <a:rPr lang="en-GB" sz="1100" b="1" baseline="0"/>
            <a:t>Jos ylimäpänä näkyvä _Otsikkorivi-valinta näkyy erivärisellä pohjalla kuin loput valinnat -&gt; suodatus on voimassa ja sinun ei tarvitse tehdä mitään. </a:t>
          </a:r>
          <a:endParaRPr lang="en-GB"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167640</xdr:rowOff>
    </xdr:from>
    <xdr:to>
      <xdr:col>18</xdr:col>
      <xdr:colOff>381000</xdr:colOff>
      <xdr:row>61</xdr:row>
      <xdr:rowOff>160020</xdr:rowOff>
    </xdr:to>
    <xdr:sp macro="" textlink="">
      <xdr:nvSpPr>
        <xdr:cNvPr id="3" name="TextBox 2">
          <a:extLst>
            <a:ext uri="{FF2B5EF4-FFF2-40B4-BE49-F238E27FC236}">
              <a16:creationId xmlns:a16="http://schemas.microsoft.com/office/drawing/2014/main" id="{C0179FA0-2D81-4245-BB3F-684044A2C4F8}"/>
            </a:ext>
          </a:extLst>
        </xdr:cNvPr>
        <xdr:cNvSpPr txBox="1"/>
      </xdr:nvSpPr>
      <xdr:spPr>
        <a:xfrm>
          <a:off x="0" y="167640"/>
          <a:ext cx="11353800" cy="11148060"/>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i-FI" sz="1800" b="1">
              <a:effectLst/>
            </a:rPr>
            <a:t>Ohje</a:t>
          </a:r>
          <a:endParaRPr lang="fi-FI" sz="1600" b="1">
            <a:effectLst/>
          </a:endParaRPr>
        </a:p>
        <a:p>
          <a:pPr rtl="0"/>
          <a:endParaRPr lang="fi-FI" sz="1600" b="1">
            <a:effectLst/>
          </a:endParaRPr>
        </a:p>
        <a:p>
          <a:pPr rtl="0"/>
          <a:r>
            <a:rPr lang="fi-FI" sz="1600" b="1">
              <a:effectLst/>
            </a:rPr>
            <a:t>Lähtötiedot</a:t>
          </a:r>
        </a:p>
        <a:p>
          <a:pPr rtl="0"/>
          <a:r>
            <a:rPr lang="fi-FI">
              <a:effectLst/>
            </a:rPr>
            <a:t>Anna ensin "Lähtötiedot"-välilehdellä vesihuoltolaitoksenne kokoa ja toimialaa koskeva</a:t>
          </a:r>
          <a:r>
            <a:rPr lang="fi-FI" baseline="0">
              <a:effectLst/>
            </a:rPr>
            <a:t>t lähtötiedot. </a:t>
          </a:r>
        </a:p>
        <a:p>
          <a:pPr rtl="0"/>
          <a:endParaRPr lang="fi-FI">
            <a:effectLst/>
          </a:endParaRPr>
        </a:p>
        <a:p>
          <a:pPr rtl="0"/>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fi-FI" sz="1600" b="1" i="0" u="none" strike="noStrike" kern="0" cap="none" spc="0" normalizeH="0" baseline="0" noProof="0">
              <a:ln>
                <a:noFill/>
              </a:ln>
              <a:solidFill>
                <a:prstClr val="black"/>
              </a:solidFill>
              <a:effectLst/>
              <a:uLnTx/>
              <a:uFillTx/>
              <a:latin typeface="+mn-lt"/>
              <a:ea typeface="+mn-ea"/>
              <a:cs typeface="+mn-cs"/>
            </a:rPr>
            <a:t>Vastaaminen</a:t>
          </a:r>
        </a:p>
        <a:p>
          <a:pPr rtl="0"/>
          <a:r>
            <a:rPr lang="fi-FI" sz="1100">
              <a:solidFill>
                <a:schemeClr val="dk1"/>
              </a:solidFill>
              <a:effectLst/>
              <a:latin typeface="+mn-lt"/>
              <a:ea typeface="+mn-ea"/>
              <a:cs typeface="+mn-cs"/>
            </a:rPr>
            <a:t>Kriteerit</a:t>
          </a:r>
          <a:r>
            <a:rPr lang="fi-FI" sz="1100" baseline="0">
              <a:solidFill>
                <a:schemeClr val="dk1"/>
              </a:solidFill>
              <a:effectLst/>
              <a:latin typeface="+mn-lt"/>
              <a:ea typeface="+mn-ea"/>
              <a:cs typeface="+mn-cs"/>
            </a:rPr>
            <a:t> löytyvät kolmelta eri välilehdeltä ja ne on </a:t>
          </a:r>
          <a:r>
            <a:rPr lang="en-US" sz="1100" baseline="0">
              <a:solidFill>
                <a:schemeClr val="dk1"/>
              </a:solidFill>
              <a:effectLst/>
              <a:latin typeface="+mn-lt"/>
              <a:ea typeface="+mn-ea"/>
              <a:cs typeface="+mn-cs"/>
            </a:rPr>
            <a:t>jaoteltu kolmeen pääkategoriaan:  </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Turvallinen ja toimintavarma,</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Kustannustehokas ja organisoitu</a:t>
          </a:r>
          <a:endParaRPr lang="en-GB">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Kestävä ja kehittyvä</a:t>
          </a:r>
        </a:p>
        <a:p>
          <a:pPr marL="171450" indent="-171450">
            <a:buFont typeface="Arial" panose="020B0604020202020204" pitchFamily="34" charset="0"/>
            <a:buChar char="•"/>
          </a:pPr>
          <a:endParaRPr lang="en-GB">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Näet </a:t>
          </a:r>
          <a:r>
            <a:rPr lang="fi-FI" sz="1100" b="1">
              <a:solidFill>
                <a:schemeClr val="dk1"/>
              </a:solidFill>
              <a:effectLst/>
              <a:latin typeface="+mn-lt"/>
              <a:ea typeface="+mn-ea"/>
              <a:cs typeface="+mn-cs"/>
            </a:rPr>
            <a:t>mustalla tekstillä</a:t>
          </a:r>
          <a:r>
            <a:rPr lang="fi-FI" sz="1100" b="1" baseline="0">
              <a:solidFill>
                <a:schemeClr val="dk1"/>
              </a:solidFill>
              <a:effectLst/>
              <a:latin typeface="+mn-lt"/>
              <a:ea typeface="+mn-ea"/>
              <a:cs typeface="+mn-cs"/>
            </a:rPr>
            <a:t> </a:t>
          </a:r>
          <a:r>
            <a:rPr lang="fi-FI" sz="1100">
              <a:solidFill>
                <a:schemeClr val="dk1"/>
              </a:solidFill>
              <a:effectLst/>
              <a:latin typeface="+mn-lt"/>
              <a:ea typeface="+mn-ea"/>
              <a:cs typeface="+mn-cs"/>
            </a:rPr>
            <a:t>kriteerit, jotka koskevat oman kokoluokkasi vesihuoltolaitosta. </a:t>
          </a:r>
          <a:r>
            <a:rPr lang="fi-FI" sz="1100" b="1">
              <a:solidFill>
                <a:schemeClr val="dk1"/>
              </a:solidFill>
              <a:effectLst/>
              <a:latin typeface="+mn-lt"/>
              <a:ea typeface="+mn-ea"/>
              <a:cs typeface="+mn-cs"/>
            </a:rPr>
            <a:t>Punaisella tekstillä </a:t>
          </a:r>
          <a:r>
            <a:rPr lang="fi-FI" sz="1100">
              <a:solidFill>
                <a:schemeClr val="dk1"/>
              </a:solidFill>
              <a:effectLst/>
              <a:latin typeface="+mn-lt"/>
              <a:ea typeface="+mn-ea"/>
              <a:cs typeface="+mn-cs"/>
            </a:rPr>
            <a:t>näet kriteerit, jotka koskevat kokoluokkaasi isompia vesihuoltolaitoksia tai ovat luokan 5 kriteereitä, mikä kuvaa erityisen hyvän vesihuollon tasoa. Vastaamalla ”kyllä” näihin kriteereihin, saat lisäpisteen. </a:t>
          </a:r>
          <a:r>
            <a:rPr lang="fi-FI" sz="1100" b="1">
              <a:solidFill>
                <a:schemeClr val="dk1"/>
              </a:solidFill>
              <a:effectLst/>
              <a:latin typeface="+mn-lt"/>
              <a:ea typeface="+mn-ea"/>
              <a:cs typeface="+mn-cs"/>
            </a:rPr>
            <a:t>Harmaalla tekstillä ja yliviivattuna </a:t>
          </a:r>
          <a:r>
            <a:rPr lang="fi-FI" sz="1100">
              <a:solidFill>
                <a:schemeClr val="dk1"/>
              </a:solidFill>
              <a:effectLst/>
              <a:latin typeface="+mn-lt"/>
              <a:ea typeface="+mn-ea"/>
              <a:cs typeface="+mn-cs"/>
            </a:rPr>
            <a:t>näet kriteerit,</a:t>
          </a:r>
          <a:r>
            <a:rPr lang="fi-FI" sz="1100" baseline="0">
              <a:solidFill>
                <a:schemeClr val="dk1"/>
              </a:solidFill>
              <a:effectLst/>
              <a:latin typeface="+mn-lt"/>
              <a:ea typeface="+mn-ea"/>
              <a:cs typeface="+mn-cs"/>
            </a:rPr>
            <a:t> jotka eivät koske teidän vesilaitostanne joko toimialan tai koon perusteella. </a:t>
          </a:r>
          <a:endParaRPr lang="en-GB"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(Voit halutessasi suodattaa näkymästä pois kysymykset, jotka eivät koske teidän laitostanne. Valitse tällöin sivun yläreunan valintalaatikosta </a:t>
          </a:r>
          <a:r>
            <a:rPr lang="en-GB" sz="1100" b="1" baseline="0">
              <a:solidFill>
                <a:schemeClr val="dk1"/>
              </a:solidFill>
              <a:effectLst/>
              <a:latin typeface="+mn-lt"/>
              <a:ea typeface="+mn-ea"/>
              <a:cs typeface="+mn-cs"/>
            </a:rPr>
            <a:t>"Näytä sivulla: Oman vesilaitoksen kysymykset"</a:t>
          </a:r>
          <a:r>
            <a:rPr lang="en-GB" sz="1100" b="0" baseline="0">
              <a:solidFill>
                <a:schemeClr val="dk1"/>
              </a:solidFill>
              <a:effectLst/>
              <a:latin typeface="+mn-lt"/>
              <a:ea typeface="+mn-ea"/>
              <a:cs typeface="+mn-cs"/>
            </a:rPr>
            <a:t>. Suodatuksen poisto kokonaan = paina valintalaatikon oikean yläkulman ikonia.)</a:t>
          </a:r>
          <a:endParaRPr lang="en-GB">
            <a:effectLst/>
          </a:endParaRPr>
        </a:p>
        <a:p>
          <a:pPr rtl="0"/>
          <a:endParaRPr lang="fi-FI" sz="1100" baseline="0">
            <a:solidFill>
              <a:schemeClr val="dk1"/>
            </a:solidFill>
            <a:effectLst/>
            <a:latin typeface="+mn-lt"/>
            <a:ea typeface="+mn-ea"/>
            <a:cs typeface="+mn-cs"/>
          </a:endParaRPr>
        </a:p>
        <a:p>
          <a:pPr rtl="0"/>
          <a:r>
            <a:rPr lang="fi-FI" sz="1100" b="1" baseline="0">
              <a:solidFill>
                <a:schemeClr val="dk1"/>
              </a:solidFill>
              <a:effectLst/>
              <a:latin typeface="+mn-lt"/>
              <a:ea typeface="+mn-ea"/>
              <a:cs typeface="+mn-cs"/>
            </a:rPr>
            <a:t>Vastausohje: </a:t>
          </a:r>
          <a:endParaRPr lang="en-GB" b="1">
            <a:effectLst/>
          </a:endParaRPr>
        </a:p>
        <a:p>
          <a:pPr marL="171450" indent="-171450" rtl="0">
            <a:buFont typeface="Arial" panose="020B0604020202020204" pitchFamily="34" charset="0"/>
            <a:buChar char="•"/>
          </a:pPr>
          <a:r>
            <a:rPr lang="fi-FI">
              <a:effectLst/>
            </a:rPr>
            <a:t>Vastaa ”</a:t>
          </a:r>
          <a:r>
            <a:rPr lang="fi-FI" b="1">
              <a:effectLst/>
            </a:rPr>
            <a:t>kyllä</a:t>
          </a:r>
          <a:r>
            <a:rPr lang="fi-FI">
              <a:effectLst/>
            </a:rPr>
            <a:t>”, kun kriteerikysymys kuvaa vesihuoltolaitoksesi tilannetta.</a:t>
          </a:r>
        </a:p>
        <a:p>
          <a:pPr marL="171450" indent="-171450" rtl="0">
            <a:buFont typeface="Arial" panose="020B0604020202020204" pitchFamily="34" charset="0"/>
            <a:buChar char="•"/>
          </a:pPr>
          <a:r>
            <a:rPr lang="fi-FI">
              <a:effectLst/>
            </a:rPr>
            <a:t>Vastaa ”</a:t>
          </a:r>
          <a:r>
            <a:rPr lang="fi-FI" b="1">
              <a:effectLst/>
            </a:rPr>
            <a:t>ei</a:t>
          </a:r>
          <a:r>
            <a:rPr lang="fi-FI">
              <a:effectLst/>
            </a:rPr>
            <a:t>”, mikäli kriteerikysymys ei kuvaa vesihuoltolaitoksesi tilannetta.</a:t>
          </a:r>
        </a:p>
        <a:p>
          <a:pPr marL="171450" indent="-171450" rtl="0">
            <a:buFont typeface="Arial" panose="020B0604020202020204" pitchFamily="34" charset="0"/>
            <a:buChar char="•"/>
          </a:pPr>
          <a:r>
            <a:rPr lang="fi-FI">
              <a:effectLst/>
            </a:rPr>
            <a:t>Vastaa ”</a:t>
          </a:r>
          <a:r>
            <a:rPr lang="fi-FI" b="1">
              <a:effectLst/>
            </a:rPr>
            <a:t>ei koske</a:t>
          </a:r>
          <a:r>
            <a:rPr lang="fi-FI">
              <a:effectLst/>
            </a:rPr>
            <a:t>”, jos kriteerikysymys ei ole koske vesihuoltolaitoksesi toimintaa.</a:t>
          </a:r>
        </a:p>
        <a:p>
          <a:pPr marL="171450" indent="-171450" rtl="0">
            <a:buFont typeface="Arial" panose="020B0604020202020204" pitchFamily="34" charset="0"/>
            <a:buChar char="•"/>
          </a:pPr>
          <a:endParaRPr lang="fi-FI" sz="1100" baseline="0">
            <a:solidFill>
              <a:schemeClr val="dk1"/>
            </a:solidFill>
            <a:effectLst/>
            <a:latin typeface="+mn-lt"/>
            <a:ea typeface="+mn-ea"/>
            <a:cs typeface="+mn-cs"/>
          </a:endParaRPr>
        </a:p>
        <a:p>
          <a:pPr marL="0" indent="0" rtl="0">
            <a:buFont typeface="Arial" panose="020B0604020202020204" pitchFamily="34" charset="0"/>
            <a:buNone/>
          </a:pPr>
          <a:r>
            <a:rPr lang="en-GB" sz="1100" baseline="0">
              <a:solidFill>
                <a:schemeClr val="dk1"/>
              </a:solidFill>
              <a:effectLst/>
              <a:latin typeface="+mn-lt"/>
              <a:ea typeface="+mn-ea"/>
              <a:cs typeface="+mn-cs"/>
            </a:rPr>
            <a:t>Voit kirjoittaa vastauksen vastauslaatikkoon tai valita hiirellä valmiista valintalaatikosta. Jos valmis valintalaatikko jostain syystä katoaa/ei näy, sinun pitäisi kuitenkin edelleen pystyä itse kirjoittamaan vastaus.</a:t>
          </a:r>
          <a:endParaRPr lang="en-GB">
            <a:effectLst/>
          </a:endParaRPr>
        </a:p>
        <a:p>
          <a:pPr marL="171450" indent="-171450" rtl="0">
            <a:buFont typeface="Arial" panose="020B0604020202020204" pitchFamily="34" charset="0"/>
            <a:buChar char="•"/>
          </a:pPr>
          <a:endParaRPr lang="fi-FI">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Huoltovarmuus-sarakkeessa oleva tähti kertoo kysymyksen liittyvän</a:t>
          </a:r>
          <a:r>
            <a:rPr lang="fi-FI" sz="1100" baseline="0">
              <a:solidFill>
                <a:schemeClr val="dk1"/>
              </a:solidFill>
              <a:effectLst/>
              <a:latin typeface="+mn-lt"/>
              <a:ea typeface="+mn-ea"/>
              <a:cs typeface="+mn-cs"/>
            </a:rPr>
            <a:t> huoltovarmuuteen.</a:t>
          </a:r>
          <a:endParaRPr lang="en-GB">
            <a:effectLst/>
          </a:endParaRPr>
        </a:p>
        <a:p>
          <a:pPr rtl="0"/>
          <a:r>
            <a:rPr lang="fi-FI" b="1">
              <a:effectLst/>
            </a:rPr>
            <a:t>Muista:</a:t>
          </a:r>
          <a:r>
            <a:rPr lang="fi-FI">
              <a:effectLst/>
            </a:rPr>
            <a:t> Huoltovarmuuskriteerit voivat tuoda esiin vesihuoltolaitoksen haavoittuvuuksia, joten kriteerikohtaiset tulokset ovat lähtökohtaisesti luottamuksellista tietoa, eikä niitä pidä esittää julkisesti.</a:t>
          </a:r>
        </a:p>
        <a:p>
          <a:pPr rtl="0"/>
          <a:endParaRPr lang="fi-FI">
            <a:effectLst/>
          </a:endParaRPr>
        </a:p>
        <a:p>
          <a:endParaRPr lang="en-US" sz="1100" baseline="0"/>
        </a:p>
        <a:p>
          <a:endParaRPr lang="en-US" sz="1100" baseline="0"/>
        </a:p>
        <a:p>
          <a:pPr marL="0" marR="0" lvl="0" indent="0" defTabSz="914400" rtl="0" eaLnBrk="1" fontAlgn="auto" latinLnBrk="0" hangingPunct="1">
            <a:lnSpc>
              <a:spcPct val="100000"/>
            </a:lnSpc>
            <a:spcBef>
              <a:spcPts val="0"/>
            </a:spcBef>
            <a:spcAft>
              <a:spcPts val="0"/>
            </a:spcAft>
            <a:buClrTx/>
            <a:buSzTx/>
            <a:buFontTx/>
            <a:buNone/>
            <a:tabLst/>
            <a:defRPr/>
          </a:pPr>
          <a:r>
            <a:rPr lang="fi-FI" sz="1600" b="1" baseline="0">
              <a:solidFill>
                <a:schemeClr val="dk1"/>
              </a:solidFill>
              <a:effectLst/>
              <a:latin typeface="+mn-lt"/>
              <a:ea typeface="+mn-ea"/>
              <a:cs typeface="+mn-cs"/>
            </a:rPr>
            <a:t>Tulokset</a:t>
          </a:r>
          <a:br>
            <a:rPr lang="fi-FI" sz="1100" b="1" baseline="0">
              <a:solidFill>
                <a:schemeClr val="dk1"/>
              </a:solidFill>
              <a:effectLst/>
              <a:latin typeface="+mn-lt"/>
              <a:ea typeface="+mn-ea"/>
              <a:cs typeface="+mn-cs"/>
            </a:rPr>
          </a:br>
          <a:r>
            <a:rPr lang="fi-FI" sz="1100" b="1" baseline="0">
              <a:solidFill>
                <a:schemeClr val="dk1"/>
              </a:solidFill>
              <a:effectLst/>
              <a:latin typeface="+mn-lt"/>
              <a:ea typeface="+mn-ea"/>
              <a:cs typeface="+mn-cs"/>
            </a:rPr>
            <a:t>Tulokset</a:t>
          </a:r>
          <a:r>
            <a:rPr lang="fi-FI" sz="1100" baseline="0">
              <a:solidFill>
                <a:schemeClr val="dk1"/>
              </a:solidFill>
              <a:effectLst/>
              <a:latin typeface="+mn-lt"/>
              <a:ea typeface="+mn-ea"/>
              <a:cs typeface="+mn-cs"/>
            </a:rPr>
            <a:t>-välilehdellä saat raportin tuloksista. Tulokset päivittyvät reaaliaikaisesti, joten voit katsoa tuloksia, vaikka kaikkiin kysymyksiin ei olisi vielä vastattu.</a:t>
          </a:r>
          <a:endParaRPr lang="en-GB">
            <a:effectLst/>
          </a:endParaRPr>
        </a:p>
        <a:p>
          <a:pPr rtl="0"/>
          <a:r>
            <a:rPr lang="fi-FI" sz="1100" b="1" baseline="0">
              <a:solidFill>
                <a:schemeClr val="dk1"/>
              </a:solidFill>
              <a:effectLst/>
              <a:latin typeface="+mn-lt"/>
              <a:ea typeface="+mn-ea"/>
              <a:cs typeface="+mn-cs"/>
            </a:rPr>
            <a:t>Korjattavaa</a:t>
          </a:r>
          <a:r>
            <a:rPr lang="fi-FI" sz="1100" baseline="0">
              <a:solidFill>
                <a:schemeClr val="dk1"/>
              </a:solidFill>
              <a:effectLst/>
              <a:latin typeface="+mn-lt"/>
              <a:ea typeface="+mn-ea"/>
              <a:cs typeface="+mn-cs"/>
            </a:rPr>
            <a:t>-välilehdeltä näet listauksen korjauskohteista, jotka tulivat kysymyksissä vastaan. </a:t>
          </a:r>
          <a:endParaRPr lang="en-GB">
            <a:effectLst/>
          </a:endParaRPr>
        </a:p>
        <a:p>
          <a:pPr rtl="0"/>
          <a:r>
            <a:rPr lang="fi-FI" sz="1100" b="1" baseline="0">
              <a:solidFill>
                <a:schemeClr val="dk1"/>
              </a:solidFill>
              <a:effectLst/>
              <a:latin typeface="+mn-lt"/>
              <a:ea typeface="+mn-ea"/>
              <a:cs typeface="+mn-cs"/>
            </a:rPr>
            <a:t>Koontisivu</a:t>
          </a:r>
          <a:r>
            <a:rPr lang="fi-FI" sz="1100" b="0" baseline="0">
              <a:solidFill>
                <a:schemeClr val="dk1"/>
              </a:solidFill>
              <a:effectLst/>
              <a:latin typeface="+mn-lt"/>
              <a:ea typeface="+mn-ea"/>
              <a:cs typeface="+mn-cs"/>
            </a:rPr>
            <a:t>-välilehdellä on koottuna kaikki vastaukset tarkemmalla datalla esim. konsulttien datakeruuta (ja heidän tekemäänsä yhteenvetoraporttia) varten. </a:t>
          </a:r>
          <a:endParaRPr lang="en-GB">
            <a:effectLst/>
          </a:endParaRP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200" b="1">
              <a:solidFill>
                <a:schemeClr val="dk1"/>
              </a:solidFill>
              <a:effectLst/>
              <a:latin typeface="+mn-lt"/>
              <a:ea typeface="+mn-ea"/>
              <a:cs typeface="+mn-cs"/>
            </a:rPr>
            <a:t>Tulosten</a:t>
          </a:r>
          <a:r>
            <a:rPr lang="en-US" sz="1200" b="1" baseline="0">
              <a:solidFill>
                <a:schemeClr val="dk1"/>
              </a:solidFill>
              <a:effectLst/>
              <a:latin typeface="+mn-lt"/>
              <a:ea typeface="+mn-ea"/>
              <a:cs typeface="+mn-cs"/>
            </a:rPr>
            <a:t> tallennus itsearvioinnin jälkeen</a:t>
          </a:r>
          <a:endParaRPr lang="en-GB" sz="1200">
            <a:effectLst/>
          </a:endParaRPr>
        </a:p>
        <a:p>
          <a:r>
            <a:rPr lang="en-US" sz="1100" b="0" baseline="0">
              <a:solidFill>
                <a:schemeClr val="dk1"/>
              </a:solidFill>
              <a:effectLst/>
              <a:latin typeface="+mn-lt"/>
              <a:ea typeface="+mn-ea"/>
              <a:cs typeface="+mn-cs"/>
            </a:rPr>
            <a:t>Kun olet valmis itsearviointilomakkeen kanssa, voit tallentaa tulokset sisältävän Excel-tiedoston itsellesi. Excel on oletusarvoisesti "Vain luku"-tilassa, jotta voit säilyttää alkuperäisen Excelin tyhjänä seuraavia arviointikertoja varten. </a:t>
          </a:r>
          <a:br>
            <a:rPr lang="en-US" sz="1100" b="0" baseline="0">
              <a:solidFill>
                <a:schemeClr val="dk1"/>
              </a:solidFill>
              <a:effectLst/>
              <a:latin typeface="+mn-lt"/>
              <a:ea typeface="+mn-ea"/>
              <a:cs typeface="+mn-cs"/>
            </a:rPr>
          </a:b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Tee tulosten tallennus seuraavasti: </a:t>
          </a:r>
          <a:endParaRPr lang="en-GB">
            <a:effectLst/>
          </a:endParaRPr>
        </a:p>
        <a:p>
          <a:r>
            <a:rPr lang="en-US" sz="1100" b="0" baseline="0">
              <a:solidFill>
                <a:schemeClr val="dk1"/>
              </a:solidFill>
              <a:effectLst/>
              <a:latin typeface="+mn-lt"/>
              <a:ea typeface="+mn-ea"/>
              <a:cs typeface="+mn-cs"/>
            </a:rPr>
            <a:t>1. </a:t>
          </a:r>
          <a:r>
            <a:rPr lang="fi-FI" sz="1100">
              <a:solidFill>
                <a:schemeClr val="dk1"/>
              </a:solidFill>
              <a:effectLst/>
              <a:latin typeface="+mn-lt"/>
              <a:ea typeface="+mn-ea"/>
              <a:cs typeface="+mn-cs"/>
            </a:rPr>
            <a:t>Napsauta ylävalikosta "Tiedosto" (File) ja valitse "Tallenna nimellä" (Save As).</a:t>
          </a:r>
          <a:endParaRPr lang="en-GB">
            <a:effectLst/>
          </a:endParaRPr>
        </a:p>
        <a:p>
          <a:r>
            <a:rPr lang="en-US" sz="1100" b="0" baseline="0">
              <a:solidFill>
                <a:schemeClr val="dk1"/>
              </a:solidFill>
              <a:effectLst/>
              <a:latin typeface="+mn-lt"/>
              <a:ea typeface="+mn-ea"/>
              <a:cs typeface="+mn-cs"/>
            </a:rPr>
            <a:t>2. "</a:t>
          </a:r>
          <a:r>
            <a:rPr lang="fi-FI" sz="1100">
              <a:solidFill>
                <a:schemeClr val="dk1"/>
              </a:solidFill>
              <a:effectLst/>
              <a:latin typeface="+mn-lt"/>
              <a:ea typeface="+mn-ea"/>
              <a:cs typeface="+mn-cs"/>
            </a:rPr>
            <a:t>Tallenna nimellä" -valikossa anna tulokset</a:t>
          </a:r>
          <a:r>
            <a:rPr lang="fi-FI" sz="1100" baseline="0">
              <a:solidFill>
                <a:schemeClr val="dk1"/>
              </a:solidFill>
              <a:effectLst/>
              <a:latin typeface="+mn-lt"/>
              <a:ea typeface="+mn-ea"/>
              <a:cs typeface="+mn-cs"/>
            </a:rPr>
            <a:t> sisältävälle </a:t>
          </a:r>
          <a:r>
            <a:rPr lang="fi-FI" sz="1100">
              <a:solidFill>
                <a:schemeClr val="dk1"/>
              </a:solidFill>
              <a:effectLst/>
              <a:latin typeface="+mn-lt"/>
              <a:ea typeface="+mn-ea"/>
              <a:cs typeface="+mn-cs"/>
            </a:rPr>
            <a:t>Excelille uusi nimi esimerkiksi liittämällä nimeen täyttöpäivämäärä "20260306_Itsearviointilomake".</a:t>
          </a:r>
          <a:endParaRPr lang="en-GB">
            <a:effectLst/>
          </a:endParaRPr>
        </a:p>
        <a:p>
          <a:r>
            <a:rPr lang="fi-FI" sz="1100">
              <a:solidFill>
                <a:schemeClr val="dk1"/>
              </a:solidFill>
              <a:effectLst/>
              <a:latin typeface="+mn-lt"/>
              <a:ea typeface="+mn-ea"/>
              <a:cs typeface="+mn-cs"/>
            </a:rPr>
            <a:t>4. Napsauta "Tallenna" (Save). Vahvista tallennus.</a:t>
          </a:r>
        </a:p>
        <a:p>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a:p>
          <a:r>
            <a:rPr lang="en-US" sz="1200" b="1" baseline="0"/>
            <a:t>Lisätietoa</a:t>
          </a:r>
          <a:r>
            <a:rPr lang="en-US" sz="1100" baseline="0"/>
            <a:t>: Hyvän vesihuollon kriteereistä lisätietoa ja ohjeita löytyy Vesilaitosyhdistyksen nettisivuilta kohdasta www.vesilaitosyhdistys.fi &gt; Kehittäminen ja tutkimus &gt; Hyvän vesihuollon kriteerit -työkalu</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22</xdr:col>
      <xdr:colOff>137160</xdr:colOff>
      <xdr:row>0</xdr:row>
      <xdr:rowOff>106680</xdr:rowOff>
    </xdr:from>
    <xdr:to>
      <xdr:col>27</xdr:col>
      <xdr:colOff>91440</xdr:colOff>
      <xdr:row>3</xdr:row>
      <xdr:rowOff>434340</xdr:rowOff>
    </xdr:to>
    <mc:AlternateContent xmlns:mc="http://schemas.openxmlformats.org/markup-compatibility/2006" xmlns:sle15="http://schemas.microsoft.com/office/drawing/2012/slicer">
      <mc:Choice Requires="sle15">
        <xdr:graphicFrame macro="">
          <xdr:nvGraphicFramePr>
            <xdr:cNvPr id="3" name="SeliteOsittajaan">
              <a:extLst>
                <a:ext uri="{FF2B5EF4-FFF2-40B4-BE49-F238E27FC236}">
                  <a16:creationId xmlns:a16="http://schemas.microsoft.com/office/drawing/2014/main" id="{3571B292-82A5-CB89-A8EC-54575335750E}"/>
                </a:ext>
              </a:extLst>
            </xdr:cNvPr>
            <xdr:cNvGraphicFramePr/>
          </xdr:nvGraphicFramePr>
          <xdr:xfrm>
            <a:off x="0" y="0"/>
            <a:ext cx="0" cy="0"/>
          </xdr:xfrm>
          <a:graphic>
            <a:graphicData uri="http://schemas.microsoft.com/office/drawing/2010/slicer">
              <sle:slicer xmlns:sle="http://schemas.microsoft.com/office/drawing/2010/slicer" name="SeliteOsittajaan"/>
            </a:graphicData>
          </a:graphic>
        </xdr:graphicFrame>
      </mc:Choice>
      <mc:Fallback xmlns="">
        <xdr:sp macro="" textlink="">
          <xdr:nvSpPr>
            <xdr:cNvPr id="0" name=""/>
            <xdr:cNvSpPr>
              <a:spLocks noTextEdit="1"/>
            </xdr:cNvSpPr>
          </xdr:nvSpPr>
          <xdr:spPr>
            <a:xfrm>
              <a:off x="10187940" y="10668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228600</xdr:colOff>
      <xdr:row>0</xdr:row>
      <xdr:rowOff>38100</xdr:rowOff>
    </xdr:from>
    <xdr:to>
      <xdr:col>33</xdr:col>
      <xdr:colOff>457200</xdr:colOff>
      <xdr:row>3</xdr:row>
      <xdr:rowOff>563880</xdr:rowOff>
    </xdr:to>
    <xdr:sp macro="" textlink="">
      <xdr:nvSpPr>
        <xdr:cNvPr id="4" name="TextBox 3">
          <a:extLst>
            <a:ext uri="{FF2B5EF4-FFF2-40B4-BE49-F238E27FC236}">
              <a16:creationId xmlns:a16="http://schemas.microsoft.com/office/drawing/2014/main" id="{509AD87D-C0D9-2CBB-B53F-D914DE6756CC}"/>
            </a:ext>
          </a:extLst>
        </xdr:cNvPr>
        <xdr:cNvSpPr txBox="1"/>
      </xdr:nvSpPr>
      <xdr:spPr>
        <a:xfrm>
          <a:off x="13289280" y="3810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Pikaohje: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22</xdr:col>
      <xdr:colOff>175260</xdr:colOff>
      <xdr:row>0</xdr:row>
      <xdr:rowOff>160020</xdr:rowOff>
    </xdr:from>
    <xdr:to>
      <xdr:col>27</xdr:col>
      <xdr:colOff>129540</xdr:colOff>
      <xdr:row>3</xdr:row>
      <xdr:rowOff>487680</xdr:rowOff>
    </xdr:to>
    <mc:AlternateContent xmlns:mc="http://schemas.openxmlformats.org/markup-compatibility/2006" xmlns:sle15="http://schemas.microsoft.com/office/drawing/2012/slicer">
      <mc:Choice Requires="sle15">
        <xdr:graphicFrame macro="">
          <xdr:nvGraphicFramePr>
            <xdr:cNvPr id="2" name="SeliteOsittajaan 1">
              <a:extLst>
                <a:ext uri="{FF2B5EF4-FFF2-40B4-BE49-F238E27FC236}">
                  <a16:creationId xmlns:a16="http://schemas.microsoft.com/office/drawing/2014/main" id="{62093AFE-3643-4DA4-ABED-B911842974FC}"/>
                </a:ext>
              </a:extLst>
            </xdr:cNvPr>
            <xdr:cNvGraphicFramePr/>
          </xdr:nvGraphicFramePr>
          <xdr:xfrm>
            <a:off x="0" y="0"/>
            <a:ext cx="0" cy="0"/>
          </xdr:xfrm>
          <a:graphic>
            <a:graphicData uri="http://schemas.microsoft.com/office/drawing/2010/slicer">
              <sle:slicer xmlns:sle="http://schemas.microsoft.com/office/drawing/2010/slicer" name="SeliteOsittajaan 1"/>
            </a:graphicData>
          </a:graphic>
        </xdr:graphicFrame>
      </mc:Choice>
      <mc:Fallback xmlns="">
        <xdr:sp macro="" textlink="">
          <xdr:nvSpPr>
            <xdr:cNvPr id="0" name=""/>
            <xdr:cNvSpPr>
              <a:spLocks noTextEdit="1"/>
            </xdr:cNvSpPr>
          </xdr:nvSpPr>
          <xdr:spPr>
            <a:xfrm>
              <a:off x="10226040" y="16002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251460</xdr:colOff>
      <xdr:row>0</xdr:row>
      <xdr:rowOff>30480</xdr:rowOff>
    </xdr:from>
    <xdr:to>
      <xdr:col>33</xdr:col>
      <xdr:colOff>480060</xdr:colOff>
      <xdr:row>3</xdr:row>
      <xdr:rowOff>556260</xdr:rowOff>
    </xdr:to>
    <xdr:sp macro="" textlink="">
      <xdr:nvSpPr>
        <xdr:cNvPr id="4" name="TextBox 3">
          <a:extLst>
            <a:ext uri="{FF2B5EF4-FFF2-40B4-BE49-F238E27FC236}">
              <a16:creationId xmlns:a16="http://schemas.microsoft.com/office/drawing/2014/main" id="{6E23929D-0AB3-490B-B0E8-868F47E9D6A8}"/>
            </a:ext>
          </a:extLst>
        </xdr:cNvPr>
        <xdr:cNvSpPr txBox="1"/>
      </xdr:nvSpPr>
      <xdr:spPr>
        <a:xfrm>
          <a:off x="13312140" y="3048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22</xdr:col>
      <xdr:colOff>182880</xdr:colOff>
      <xdr:row>0</xdr:row>
      <xdr:rowOff>152400</xdr:rowOff>
    </xdr:from>
    <xdr:to>
      <xdr:col>27</xdr:col>
      <xdr:colOff>137160</xdr:colOff>
      <xdr:row>3</xdr:row>
      <xdr:rowOff>480060</xdr:rowOff>
    </xdr:to>
    <mc:AlternateContent xmlns:mc="http://schemas.openxmlformats.org/markup-compatibility/2006" xmlns:sle15="http://schemas.microsoft.com/office/drawing/2012/slicer">
      <mc:Choice Requires="sle15">
        <xdr:graphicFrame macro="">
          <xdr:nvGraphicFramePr>
            <xdr:cNvPr id="2" name="SeliteOsittajaan 2">
              <a:extLst>
                <a:ext uri="{FF2B5EF4-FFF2-40B4-BE49-F238E27FC236}">
                  <a16:creationId xmlns:a16="http://schemas.microsoft.com/office/drawing/2014/main" id="{764A2908-FBA3-4D2D-965B-54873736A107}"/>
                </a:ext>
              </a:extLst>
            </xdr:cNvPr>
            <xdr:cNvGraphicFramePr/>
          </xdr:nvGraphicFramePr>
          <xdr:xfrm>
            <a:off x="0" y="0"/>
            <a:ext cx="0" cy="0"/>
          </xdr:xfrm>
          <a:graphic>
            <a:graphicData uri="http://schemas.microsoft.com/office/drawing/2010/slicer">
              <sle:slicer xmlns:sle="http://schemas.microsoft.com/office/drawing/2010/slicer" name="SeliteOsittajaan 2"/>
            </a:graphicData>
          </a:graphic>
        </xdr:graphicFrame>
      </mc:Choice>
      <mc:Fallback xmlns="">
        <xdr:sp macro="" textlink="">
          <xdr:nvSpPr>
            <xdr:cNvPr id="0" name=""/>
            <xdr:cNvSpPr>
              <a:spLocks noTextEdit="1"/>
            </xdr:cNvSpPr>
          </xdr:nvSpPr>
          <xdr:spPr>
            <a:xfrm>
              <a:off x="10233660" y="152400"/>
              <a:ext cx="296418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27</xdr:col>
      <xdr:colOff>266700</xdr:colOff>
      <xdr:row>0</xdr:row>
      <xdr:rowOff>30480</xdr:rowOff>
    </xdr:from>
    <xdr:to>
      <xdr:col>33</xdr:col>
      <xdr:colOff>495300</xdr:colOff>
      <xdr:row>3</xdr:row>
      <xdr:rowOff>556260</xdr:rowOff>
    </xdr:to>
    <xdr:sp macro="" textlink="">
      <xdr:nvSpPr>
        <xdr:cNvPr id="6" name="TextBox 5">
          <a:extLst>
            <a:ext uri="{FF2B5EF4-FFF2-40B4-BE49-F238E27FC236}">
              <a16:creationId xmlns:a16="http://schemas.microsoft.com/office/drawing/2014/main" id="{EEF133ED-CEB6-4D5A-AEFF-884814170EDC}"/>
            </a:ext>
          </a:extLst>
        </xdr:cNvPr>
        <xdr:cNvSpPr txBox="1"/>
      </xdr:nvSpPr>
      <xdr:spPr>
        <a:xfrm>
          <a:off x="13327380" y="30480"/>
          <a:ext cx="3840480" cy="1219200"/>
        </a:xfrm>
        <a:prstGeom prst="rect">
          <a:avLst/>
        </a:prstGeom>
        <a:solidFill>
          <a:srgbClr val="96E1FF">
            <a:alpha val="34902"/>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 </a:t>
          </a:r>
          <a:r>
            <a:rPr lang="en-GB" sz="1100"/>
            <a:t>Sivu näyttää oletuksena</a:t>
          </a:r>
          <a:r>
            <a:rPr lang="en-GB" sz="1100" baseline="0"/>
            <a:t> kaikki kriteerit/kysymykset. </a:t>
          </a:r>
        </a:p>
        <a:p>
          <a:r>
            <a:rPr lang="en-GB" sz="1100" baseline="0"/>
            <a:t>Kysymykset, jotka eivät koske teidän laitostanne, näkyvät yliviivattuina harmaalla fontilla. Jos haluat poistaa ylimääräiset kysymykset näkyvistä, valitse viereisestä valintalaatikosta </a:t>
          </a:r>
          <a:r>
            <a:rPr lang="en-GB" sz="1100" b="1" baseline="0"/>
            <a:t>"Näytä sivulla: Oman vesilaitoksen kysymykset"</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(Poista suodatus = paina valintalaatikon oikean yläkulman ikonia)</a:t>
          </a:r>
          <a:endParaRPr lang="en-GB">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14</xdr:row>
      <xdr:rowOff>87630</xdr:rowOff>
    </xdr:from>
    <xdr:to>
      <xdr:col>10</xdr:col>
      <xdr:colOff>15240</xdr:colOff>
      <xdr:row>38</xdr:row>
      <xdr:rowOff>152400</xdr:rowOff>
    </xdr:to>
    <xdr:graphicFrame macro="">
      <xdr:nvGraphicFramePr>
        <xdr:cNvPr id="3" name="Chart 2">
          <a:extLst>
            <a:ext uri="{FF2B5EF4-FFF2-40B4-BE49-F238E27FC236}">
              <a16:creationId xmlns:a16="http://schemas.microsoft.com/office/drawing/2014/main" id="{B3648133-A3AA-7B84-A512-6A97EFB53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15240</xdr:colOff>
      <xdr:row>18</xdr:row>
      <xdr:rowOff>22860</xdr:rowOff>
    </xdr:from>
    <xdr:to>
      <xdr:col>17</xdr:col>
      <xdr:colOff>53341</xdr:colOff>
      <xdr:row>22</xdr:row>
      <xdr:rowOff>7620</xdr:rowOff>
    </xdr:to>
    <xdr:sp macro="" textlink="">
      <xdr:nvSpPr>
        <xdr:cNvPr id="2" name="TextBox 1">
          <a:extLst>
            <a:ext uri="{FF2B5EF4-FFF2-40B4-BE49-F238E27FC236}">
              <a16:creationId xmlns:a16="http://schemas.microsoft.com/office/drawing/2014/main" id="{13D6C784-44D6-4400-9C3E-747A19175441}"/>
            </a:ext>
          </a:extLst>
        </xdr:cNvPr>
        <xdr:cNvSpPr txBox="1"/>
      </xdr:nvSpPr>
      <xdr:spPr>
        <a:xfrm>
          <a:off x="8496300" y="4168140"/>
          <a:ext cx="5273041" cy="71628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u="none" strike="noStrike">
              <a:solidFill>
                <a:schemeClr val="dk1"/>
              </a:solidFill>
              <a:effectLst/>
              <a:latin typeface="+mn-lt"/>
              <a:ea typeface="+mn-ea"/>
              <a:cs typeface="+mn-cs"/>
            </a:rPr>
            <a:t>*Jokainen kriteeri, jossa vesilaitos täyttää omaa luokkaansa tiukemman kriteerin, kompensoi yhden omassa luokassa olevan täyttymättömän kriteerin (ei koske 1-luokan laitoksia).</a:t>
          </a:r>
        </a:p>
      </xdr:txBody>
    </xdr:sp>
    <xdr:clientData/>
  </xdr:twoCellAnchor>
  <xdr:twoCellAnchor>
    <xdr:from>
      <xdr:col>1</xdr:col>
      <xdr:colOff>7620</xdr:colOff>
      <xdr:row>18</xdr:row>
      <xdr:rowOff>19050</xdr:rowOff>
    </xdr:from>
    <xdr:to>
      <xdr:col>9</xdr:col>
      <xdr:colOff>7620</xdr:colOff>
      <xdr:row>42</xdr:row>
      <xdr:rowOff>114300</xdr:rowOff>
    </xdr:to>
    <xdr:graphicFrame macro="">
      <xdr:nvGraphicFramePr>
        <xdr:cNvPr id="3" name="Chart 2">
          <a:extLst>
            <a:ext uri="{FF2B5EF4-FFF2-40B4-BE49-F238E27FC236}">
              <a16:creationId xmlns:a16="http://schemas.microsoft.com/office/drawing/2014/main" id="{9A8BF81C-F0B5-4898-8074-4109FD965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114300</xdr:rowOff>
    </xdr:from>
    <xdr:to>
      <xdr:col>17</xdr:col>
      <xdr:colOff>7620</xdr:colOff>
      <xdr:row>10</xdr:row>
      <xdr:rowOff>152400</xdr:rowOff>
    </xdr:to>
    <xdr:sp macro="" textlink="">
      <xdr:nvSpPr>
        <xdr:cNvPr id="4" name="TextBox 3">
          <a:extLst>
            <a:ext uri="{FF2B5EF4-FFF2-40B4-BE49-F238E27FC236}">
              <a16:creationId xmlns:a16="http://schemas.microsoft.com/office/drawing/2014/main" id="{709CC5BC-3D07-FE45-7CB3-CD3A30859228}"/>
            </a:ext>
          </a:extLst>
        </xdr:cNvPr>
        <xdr:cNvSpPr txBox="1"/>
      </xdr:nvSpPr>
      <xdr:spPr>
        <a:xfrm>
          <a:off x="8481060" y="624840"/>
          <a:ext cx="5242560" cy="212598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OHJE</a:t>
          </a:r>
          <a:br>
            <a:rPr lang="en-GB" sz="1100"/>
          </a:br>
          <a:r>
            <a:rPr lang="en-GB" sz="1100" b="0"/>
            <a:t>Tällä sivulla näet vastaustesi tulokset.</a:t>
          </a:r>
          <a:r>
            <a:rPr lang="en-GB" sz="1100" b="0" baseline="0"/>
            <a:t> Tulokset päivittyvät sitä mukaa, kun vastaat kriteerikysymyksiin</a:t>
          </a:r>
          <a:r>
            <a:rPr lang="en-GB" sz="1100" b="1" baseline="0"/>
            <a:t>. </a:t>
          </a:r>
          <a:r>
            <a:rPr lang="en-GB" sz="1100" baseline="0"/>
            <a:t>Yksi Kyllä-vastaus = yksi piste. </a:t>
          </a:r>
        </a:p>
        <a:p>
          <a:endParaRPr lang="en-GB" sz="1100" baseline="0"/>
        </a:p>
        <a:p>
          <a:r>
            <a:rPr lang="en-GB" sz="1100" baseline="0"/>
            <a:t>Tulostaulukossa näet prosentteina ja pisteinä (yksi piste = yksi kriteeri), miten hyvin kriteerit laitoksessanne täyttyvät (maksimipisteet = kaikki laitostanne koskevat kriteerit yhteensä).</a:t>
          </a:r>
        </a:p>
        <a:p>
          <a:endParaRPr lang="en-GB" sz="1100" baseline="0"/>
        </a:p>
        <a:p>
          <a:r>
            <a:rPr lang="en-GB" sz="1100" baseline="0"/>
            <a:t>Huom! Kriteeri täyttyy -prosentti voi olla yli 100 %, jos olet vastannut "Kyllä" myös omaa laitostanne tiukempiin "Extra"-kriteereihin. (Ei koske 1-luokan laitoksia.)</a:t>
          </a:r>
        </a:p>
        <a:p>
          <a:endParaRPr lang="en-GB" sz="1100" baseline="0"/>
        </a:p>
        <a:p>
          <a:r>
            <a:rPr lang="en-GB" sz="1100" baseline="0"/>
            <a:t>Alla näet </a:t>
          </a:r>
          <a:r>
            <a:rPr lang="en-GB" sz="1100" b="1" baseline="0"/>
            <a:t>arvosteluasteikon</a:t>
          </a:r>
          <a:r>
            <a:rPr lang="en-GB" sz="1100" baseline="0"/>
            <a:t>. </a:t>
          </a:r>
          <a:endParaRPr lang="en-GB" sz="1100"/>
        </a:p>
      </xdr:txBody>
    </xdr:sp>
    <xdr:clientData/>
  </xdr:twoCellAnchor>
  <xdr:twoCellAnchor>
    <xdr:from>
      <xdr:col>1</xdr:col>
      <xdr:colOff>198120</xdr:colOff>
      <xdr:row>3</xdr:row>
      <xdr:rowOff>91440</xdr:rowOff>
    </xdr:from>
    <xdr:to>
      <xdr:col>3</xdr:col>
      <xdr:colOff>792480</xdr:colOff>
      <xdr:row>4</xdr:row>
      <xdr:rowOff>304800</xdr:rowOff>
    </xdr:to>
    <xdr:sp macro="" textlink="">
      <xdr:nvSpPr>
        <xdr:cNvPr id="5" name="TextBox 4">
          <a:extLst>
            <a:ext uri="{FF2B5EF4-FFF2-40B4-BE49-F238E27FC236}">
              <a16:creationId xmlns:a16="http://schemas.microsoft.com/office/drawing/2014/main" id="{96D34F37-51F9-DF31-8B93-20B892AE1D21}"/>
            </a:ext>
          </a:extLst>
        </xdr:cNvPr>
        <xdr:cNvSpPr txBox="1"/>
      </xdr:nvSpPr>
      <xdr:spPr>
        <a:xfrm>
          <a:off x="807720" y="792480"/>
          <a:ext cx="286512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13374B"/>
              </a:solidFill>
            </a:rPr>
            <a:t>Hyvän vesihuollon kriteerit</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129540</xdr:colOff>
      <xdr:row>0</xdr:row>
      <xdr:rowOff>91441</xdr:rowOff>
    </xdr:from>
    <xdr:to>
      <xdr:col>11</xdr:col>
      <xdr:colOff>68580</xdr:colOff>
      <xdr:row>5</xdr:row>
      <xdr:rowOff>83821</xdr:rowOff>
    </xdr:to>
    <mc:AlternateContent xmlns:mc="http://schemas.openxmlformats.org/markup-compatibility/2006" xmlns:sle15="http://schemas.microsoft.com/office/drawing/2012/slicer">
      <mc:Choice Requires="sle15">
        <xdr:graphicFrame macro="">
          <xdr:nvGraphicFramePr>
            <xdr:cNvPr id="2" name="Näytetäänkö rivi?">
              <a:extLst>
                <a:ext uri="{FF2B5EF4-FFF2-40B4-BE49-F238E27FC236}">
                  <a16:creationId xmlns:a16="http://schemas.microsoft.com/office/drawing/2014/main" id="{BC38A973-26F7-1F5A-6194-F30C61C182C4}"/>
                </a:ext>
              </a:extLst>
            </xdr:cNvPr>
            <xdr:cNvGraphicFramePr/>
          </xdr:nvGraphicFramePr>
          <xdr:xfrm>
            <a:off x="0" y="0"/>
            <a:ext cx="0" cy="0"/>
          </xdr:xfrm>
          <a:graphic>
            <a:graphicData uri="http://schemas.microsoft.com/office/drawing/2010/slicer">
              <sle:slicer xmlns:sle="http://schemas.microsoft.com/office/drawing/2010/slicer" name="Näytetäänkö rivi?"/>
            </a:graphicData>
          </a:graphic>
        </xdr:graphicFrame>
      </mc:Choice>
      <mc:Fallback xmlns="">
        <xdr:sp macro="" textlink="">
          <xdr:nvSpPr>
            <xdr:cNvPr id="0" name=""/>
            <xdr:cNvSpPr>
              <a:spLocks noTextEdit="1"/>
            </xdr:cNvSpPr>
          </xdr:nvSpPr>
          <xdr:spPr>
            <a:xfrm>
              <a:off x="14653260" y="91441"/>
              <a:ext cx="1828800" cy="102108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91440</xdr:colOff>
      <xdr:row>0</xdr:row>
      <xdr:rowOff>53340</xdr:rowOff>
    </xdr:from>
    <xdr:to>
      <xdr:col>11</xdr:col>
      <xdr:colOff>129540</xdr:colOff>
      <xdr:row>5</xdr:row>
      <xdr:rowOff>91440</xdr:rowOff>
    </xdr:to>
    <mc:AlternateContent xmlns:mc="http://schemas.openxmlformats.org/markup-compatibility/2006" xmlns:sle15="http://schemas.microsoft.com/office/drawing/2012/slicer">
      <mc:Choice Requires="sle15">
        <xdr:graphicFrame macro="">
          <xdr:nvGraphicFramePr>
            <xdr:cNvPr id="7" name="Onko korjattavaa?">
              <a:extLst>
                <a:ext uri="{FF2B5EF4-FFF2-40B4-BE49-F238E27FC236}">
                  <a16:creationId xmlns:a16="http://schemas.microsoft.com/office/drawing/2014/main" id="{EB8AF9C8-656A-2576-5656-BA3F5FB95224}"/>
                </a:ext>
              </a:extLst>
            </xdr:cNvPr>
            <xdr:cNvGraphicFramePr/>
          </xdr:nvGraphicFramePr>
          <xdr:xfrm>
            <a:off x="0" y="0"/>
            <a:ext cx="0" cy="0"/>
          </xdr:xfrm>
          <a:graphic>
            <a:graphicData uri="http://schemas.microsoft.com/office/drawing/2010/slicer">
              <sle:slicer xmlns:sle="http://schemas.microsoft.com/office/drawing/2010/slicer" name="Onko korjattavaa?"/>
            </a:graphicData>
          </a:graphic>
        </xdr:graphicFrame>
      </mc:Choice>
      <mc:Fallback xmlns="">
        <xdr:sp macro="" textlink="">
          <xdr:nvSpPr>
            <xdr:cNvPr id="0" name=""/>
            <xdr:cNvSpPr>
              <a:spLocks noTextEdit="1"/>
            </xdr:cNvSpPr>
          </xdr:nvSpPr>
          <xdr:spPr>
            <a:xfrm>
              <a:off x="12923520" y="53340"/>
              <a:ext cx="1927860" cy="10668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uluuko_kriteeri_kyseisen_laitoksen_vastattavaksi" xr10:uid="{CE15D523-6F57-4B6A-8CF9-8A6A344F0AD6}" sourceName="Kuuluuko kriteeri kyseisen laitoksen vastattavaksi">
  <extLst>
    <x:ext xmlns:x15="http://schemas.microsoft.com/office/spreadsheetml/2010/11/main" uri="{2F2917AC-EB37-4324-AD4E-5DD8C200BD13}">
      <x15:tableSlicerCache tableId="4"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kategoria" xr10:uid="{D7933891-A409-4019-BD2D-3A5BF0E51DFD}" sourceName="Alakategoria">
  <extLst>
    <x:ext xmlns:x15="http://schemas.microsoft.com/office/spreadsheetml/2010/11/main" uri="{2F2917AC-EB37-4324-AD4E-5DD8C200BD13}">
      <x15:tableSlicerCache tableId="4"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äytetäänkö_rivi?" xr10:uid="{8DD49D43-046C-4221-9632-8D65F4BA6162}" sourceName="Onko korjattavaa?">
  <extLst>
    <x:ext xmlns:x15="http://schemas.microsoft.com/office/spreadsheetml/2010/11/main" uri="{2F2917AC-EB37-4324-AD4E-5DD8C200BD13}">
      <x15:tableSlicerCache tableId="5"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 xr10:uid="{29FF20B1-19E1-4782-AA59-1FDB53EF5C5A}" sourceName="SeliteOsittajaan">
  <extLst>
    <x:ext xmlns:x15="http://schemas.microsoft.com/office/spreadsheetml/2010/11/main" uri="{2F2917AC-EB37-4324-AD4E-5DD8C200BD13}">
      <x15:tableSlicerCache tableId="2" column="1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1" xr10:uid="{C49DA1D4-D33A-4B86-9757-51B38032FDF5}" sourceName="SeliteOsittajaan">
  <extLst>
    <x:ext xmlns:x15="http://schemas.microsoft.com/office/spreadsheetml/2010/11/main" uri="{2F2917AC-EB37-4324-AD4E-5DD8C200BD13}">
      <x15:tableSlicerCache tableId="7" column="1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iteOsittajaan11" xr10:uid="{E3A4CB1C-E751-454B-AC2D-3BAC01D13F22}" sourceName="SeliteOsittajaan">
  <extLst>
    <x:ext xmlns:x15="http://schemas.microsoft.com/office/spreadsheetml/2010/11/main" uri="{2F2917AC-EB37-4324-AD4E-5DD8C200BD13}">
      <x15:tableSlicerCache tableId="8" column="1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uluuko_kriteeri_kyseisen_laitoksen_vastattavaksi1" xr10:uid="{494D5558-BDD8-41DE-803C-E98C6EE90BC8}" sourceName="Kuuluuko kriteeri kyseisen laitoksen vastattavaksi">
  <extLst>
    <x:ext xmlns:x15="http://schemas.microsoft.com/office/spreadsheetml/2010/11/main" uri="{2F2917AC-EB37-4324-AD4E-5DD8C200BD13}">
      <x15:tableSlicerCache tableId="9"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kategoria1" xr10:uid="{DEFAEEDF-32F2-4EF1-960F-87207EE7C1A7}" sourceName="Alakategoria">
  <extLst>
    <x:ext xmlns:x15="http://schemas.microsoft.com/office/spreadsheetml/2010/11/main" uri="{2F2917AC-EB37-4324-AD4E-5DD8C200BD13}">
      <x15:tableSlicerCache tableId="9"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nko_korjattavaa?" xr10:uid="{9ADAB777-E178-455E-AC6E-90BD59115E35}" sourceName="Onko korjattavaa?">
  <extLst>
    <x:ext xmlns:x15="http://schemas.microsoft.com/office/spreadsheetml/2010/11/main" uri="{2F2917AC-EB37-4324-AD4E-5DD8C200BD13}">
      <x15:tableSlicerCache tableId="3"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xr10:uid="{F785B9DE-8D53-4B64-8506-0658F881FEFD}" cache="Slicer_SeliteOsittajaan" caption="Näytä sivulla:"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1" xr10:uid="{5BCCF973-BA3D-480B-A037-E8F3B14412C6}" cache="Slicer_SeliteOsittajaan1" caption="Näytä sivulla:"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iteOsittajaan 2" xr10:uid="{A051A249-6584-4BA7-AE28-0886A4E6DF47}" cache="Slicer_SeliteOsittajaan11" caption="Näytä sivulla:"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äytetäänkö rivi?" xr10:uid="{31EDF2C6-84C3-4608-9B4C-72679E63DAA6}" cache="Slicer_Näytetäänkö_rivi?" caption="Onko korjattavaa?"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nko korjattavaa?" xr10:uid="{D8D16F79-C959-4904-8003-1143F3F994AE}" cache="Slicer_Onko_korjattavaa?" caption="Onko korjattavaa?"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uluuko kriteeri kyseisen laitoksen vastattavaksi 1" xr10:uid="{6776E74D-9155-40AD-9F1D-3246D8217906}" cache="Slicer_Kuuluuko_kriteeri_kyseisen_laitoksen_vastattavaksi1" caption="Kuuluuko kriteeri kyseisen laitoksen vastattavaksi" rowHeight="247650"/>
  <slicer name="Alakategoria 1" xr10:uid="{05232BB5-3A5B-4745-9381-297780A49980}" cache="Slicer_Alakategoria1" caption="Suodatetaan otsikkorivit piiloon alakategoria-sarakkeen avulla" rowHeight="2476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uluuko kriteeri kyseisen laitoksen vastattavaksi" xr10:uid="{74CFE806-9576-4E02-AD18-84971F2C275B}" cache="Slicer_Kuuluuko_kriteeri_kyseisen_laitoksen_vastattavaksi" caption="Kuuluuko kriteeri kyseisen laitoksen vastattavaksi" rowHeight="247650"/>
  <slicer name="Alakategoria" xr10:uid="{D1A9B67D-A7B7-4653-8A4C-ED6B98EF6C1D}" cache="Slicer_Alakategoria" caption="Suodatetaan otsikkorivit piiloon alakategoria-sarakkeen avulla"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34C5D-5C14-4384-BE50-A7D2B2F9255B}" name="Vastausvaihtoehdot" displayName="Vastausvaihtoehdot" ref="B29:B32" totalsRowShown="0" headerRowDxfId="178">
  <autoFilter ref="B29:B32" xr:uid="{87334C5D-5C14-4384-BE50-A7D2B2F9255B}"/>
  <tableColumns count="1">
    <tableColumn id="1" xr3:uid="{11921D7A-E7B6-4AC3-AB4D-8EC07DFCB722}" name="Vastausvaihtoehdo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26C62D-9597-4243-8B48-2A70AF302A7A}" name="KysymyspankkiTaulukko" displayName="KysymyspankkiTaulukko" ref="A1:F133" totalsRowShown="0" headerRowDxfId="177" dataDxfId="176">
  <autoFilter ref="A1:F133" xr:uid="{5A26C62D-9597-4243-8B48-2A70AF302A7A}"/>
  <tableColumns count="6">
    <tableColumn id="1" xr3:uid="{C75119BC-DE69-459F-B5CE-A90DAE7F8464}" name="Luokka" dataDxfId="175" totalsRowDxfId="174"/>
    <tableColumn id="4" xr3:uid="{89CC401D-1AC1-4F84-B89C-B0EFE7609CD6}" name="Pääkategoria" dataDxfId="173" totalsRowDxfId="172"/>
    <tableColumn id="5" xr3:uid="{329F6478-B535-4967-82BE-8816899EC40C}" name="Kategoria" dataDxfId="171" totalsRowDxfId="170"/>
    <tableColumn id="2" xr3:uid="{424A2237-5340-4F9C-B735-FD509759142A}" name="Teksti" dataDxfId="169" totalsRowDxfId="168"/>
    <tableColumn id="3" xr3:uid="{922DE34C-4CD6-485D-86B2-A73550A0B93A}" name="Toimiala" dataDxfId="167" totalsRowDxfId="166"/>
    <tableColumn id="6" xr3:uid="{B39C40CC-1C40-4E12-AA97-1173DE46C857}" name="Huoltovarmuus" dataDxfId="165" totalsRowDxfId="16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58E016-CDCA-4ABB-83DC-5F97BEE11B84}" name="KysymyksetTaulukko" displayName="KysymyksetTaulukko" ref="A4:V65" totalsRowShown="0" headerRowDxfId="223" dataDxfId="222">
  <autoFilter ref="A4:V65"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62A18800-2411-4AD7-84EC-5413DAB654CD}" name="Kysymyk-sen _x000a_Luokka" dataDxfId="221" totalsRowDxfId="220"/>
    <tableColumn id="14" xr3:uid="{61715BFE-D332-4488-A6BB-7D98FB897B5B}" name="Luokka" dataDxfId="219" totalsRowDxfId="218">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7B17E6F7-87A2-4007-BED4-354641C855FD}" name="Kysymyksen _x000a_Toimiala" dataDxfId="217" totalsRowDxfId="216"/>
    <tableColumn id="9" xr3:uid="{8DDF810C-9297-42EF-8B23-A7A40B1B426C}" name="Toimiala A" dataDxfId="215">
      <calculatedColumnFormula>IF(ISNUMBER(SEARCH(LV!$I$5, Turvallinen_ja_toimintavarma!C5)), "K", "E")</calculatedColumnFormula>
    </tableColumn>
    <tableColumn id="10" xr3:uid="{039786CD-C839-492A-8BD5-F17EBD690458}" name="Toimiala B" dataDxfId="214" totalsRowDxfId="213">
      <calculatedColumnFormula>IF(ISNUMBER(SEARCH(LV!$I$6, Turvallinen_ja_toimintavarma!$C5)), "K", "E")</calculatedColumnFormula>
    </tableColumn>
    <tableColumn id="11" xr3:uid="{02EA7A95-AD89-40E0-83A9-2468E5915D7F}" name="Toimiala C" dataDxfId="212" totalsRowDxfId="211">
      <calculatedColumnFormula>IF(ISNUMBER(SEARCH(LV!$I$7, Turvallinen_ja_toimintavarma!$C5)), "K", "E")</calculatedColumnFormula>
    </tableColumn>
    <tableColumn id="12" xr3:uid="{B09F302B-C347-4BA1-892F-3372FB49AB8F}" name="Toimiala D" dataDxfId="210" totalsRowDxfId="209">
      <calculatedColumnFormula>IF(ISNUMBER(SEARCH(LV!$I$8, Turvallinen_ja_toimintavarma!$C5)), "K", "E")</calculatedColumnFormula>
    </tableColumn>
    <tableColumn id="13" xr3:uid="{5F2453B6-D056-4C92-8430-70B6263BB86C}" name="Toimiala-_x000a_kysymys" dataDxfId="208" totalsRowDxfId="207">
      <calculatedColumnFormula>IF(OR(KysymyksetTaulukko[[#This Row],[Toimiala A]]="K",KysymyksetTaulukko[[#This Row],[Toimiala B]]="K",KysymyksetTaulukko[[#This Row],[Toimiala C]]="K",KysymyksetTaulukko[[#This Row],[Toimiala D]]="K"),"Kuuluu","Ei kuulu")</calculatedColumnFormula>
    </tableColumn>
    <tableColumn id="6" xr3:uid="{8DFBEB69-2E64-41D4-BBD8-EC1430DEBA50}" name="Luokka + toimiala" dataDxfId="206" totalsRowDxfId="205">
      <calculatedColumnFormula>IF(OR(KysymyksetTaulukko[[#This Row],[Luokka]]="Ei kuulu",KysymyksetTaulukko[[#This Row],[Toimiala-
kysymys]]="Ei kuulu"), "Ei kuulu", "Kuuluu")</calculatedColumnFormula>
    </tableColumn>
    <tableColumn id="17" xr3:uid="{37C3F041-022B-488D-81FE-E22208FAB119}" name="SeliteOsittajaan" dataDxfId="204" totalsRowDxfId="203">
      <calculatedColumnFormula>IF(KysymyksetTaulukko[[#This Row],[Luokka + toimiala]]="Kuuluu","a) Oman vesilaitoksen kysymykset","b) Muut kysymykset")</calculatedColumnFormula>
    </tableColumn>
    <tableColumn id="4" xr3:uid="{3DB70B9A-757B-4F9A-9CD9-F7531B0498D3}" name="Pääkategoria" dataDxfId="202" totalsRowDxfId="201"/>
    <tableColumn id="5" xr3:uid="{763A4CF7-9FD1-482D-BD35-8FBA16EB7D46}" name="Alakategoria_" dataDxfId="200" totalsRowDxfId="199"/>
    <tableColumn id="7" xr3:uid="{5E6CD6BF-9DED-4DF4-A033-C7A7177FB1C0}" name="Ala-_x000a_kategorianNro" dataDxfId="198" totalsRowDxfId="197">
      <calculatedColumnFormula>LEFT(KysymyksetTaulukko[[#This Row],[Alakategoria_]],2)</calculatedColumnFormula>
    </tableColumn>
    <tableColumn id="24" xr3:uid="{0DDA8458-E008-4530-823D-75E43CCC4F5E}" name="HV" dataDxfId="196" totalsRowDxfId="195"/>
    <tableColumn id="25" xr3:uid="{95242547-6F6A-4661-8C82-4499B41F7390}" name="Huolto-varmuus" dataDxfId="194" totalsRowDxfId="193"/>
    <tableColumn id="26" xr3:uid="{157E0E0E-ABD4-4786-8118-8BB054BD5833}" name="Extra-_x000a_kriteeri" dataDxfId="192" totalsRowDxfId="191">
      <calculatedColumnFormula>IF(AND(KysymyksetTaulukko[[#This Row],[Luokka]]="Extra",KysymyksetTaulukko[[#This Row],[Luokka + toimiala]]="Kuuluu"),"Extra","")</calculatedColumnFormula>
    </tableColumn>
    <tableColumn id="27" xr3:uid="{3C3EFA93-FCA9-4A0A-87A0-241F12B18A05}" name="Otsikkorivi" dataDxfId="190" totalsRowDxfId="189"/>
    <tableColumn id="2" xr3:uid="{7101296D-2FD6-4EA2-8141-A4C089DB8FFB}" name="Kriteeri" dataDxfId="188" totalsRowDxfId="187"/>
    <tableColumn id="15" xr3:uid="{7FA67CF0-1FEB-4B6A-8D21-6C03A6F2774B}" name="Vastaus" dataDxfId="186" totalsRowDxfId="185"/>
    <tableColumn id="16" xr3:uid="{77FC82C2-AD6B-445A-86B7-CF5945C9EA3D}" name="Pisteet" dataDxfId="184" totalsRowDxfId="183">
      <calculatedColumnFormula>IF(AND(KysymyksetTaulukko[[#This Row],[Luokka + toimiala]]="Kuuluu",KysymyksetTaulukko[[#This Row],[Vastaus]]="Kyllä"),1,0)</calculatedColumnFormula>
    </tableColumn>
    <tableColumn id="8" xr3:uid="{80C542E6-6000-4F69-8575-E227190E82D6}" name="Onko vastattu" dataDxfId="182" totalsRowDxfId="181">
      <calculatedColumnFormula>IF(AND(KysymyksetTaulukko[[#This Row],[Maksimipisteet]]=1,NOT(ISBLANK(KysymyksetTaulukko[[#This Row],[Vastaus]]))),1,0)</calculatedColumnFormula>
    </tableColumn>
    <tableColumn id="18" xr3:uid="{8FDE0A58-7C00-442C-8FDF-248C991281E8}" name="Maksimipisteet" dataDxfId="180" totalsRowDxfId="179">
      <calculatedColumnFormula>IF(OR(KysymyksetTaulukko[[#This Row],[Luokka + toimiala]]="Ei kuulu",KysymyksetTaulukko[[#This Row],[Vastaus]]="Ei koske",KysymyksetTaulukko[[#This Row],[Luokka]]="Extra",KysymyksetTaulukko[[#This Row],[Otsikkorivi]]="Kyllä"),0,1)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556F9-D1AC-416F-9852-563AEA836DB4}" name="KysymyksetTaulukko2" displayName="KysymyksetTaulukko2" ref="A4:V46" totalsRowShown="0" headerRowDxfId="163" dataDxfId="162">
  <autoFilter ref="A4:V46"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F88D5123-AC91-438A-A724-3598E6BEBB7B}" name="Kysymyk-sen _x000a_Luokka" dataDxfId="161" totalsRowDxfId="160"/>
    <tableColumn id="14" xr3:uid="{8C54C38B-1468-4D89-9B74-DA470B36DEF5}" name="Luokka" dataDxfId="159" totalsRowDxfId="158">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F1D171A6-F5D2-41C3-82D1-C19647CFF313}" name="Kysymyksen _x000a_Toimiala" dataDxfId="157" totalsRowDxfId="156"/>
    <tableColumn id="9" xr3:uid="{DADFFF44-2217-4208-BA52-EA181A196A53}" name="Toimiala A" dataDxfId="155">
      <calculatedColumnFormula>IF(ISNUMBER(SEARCH(LV!$I$5, Kustannustehokas_ja_organisoitu!C5)), "K", "E")</calculatedColumnFormula>
    </tableColumn>
    <tableColumn id="10" xr3:uid="{E173689C-99D8-4634-8C90-6BCA2623A574}" name="Toimiala B" dataDxfId="154" totalsRowDxfId="153">
      <calculatedColumnFormula>IF(ISNUMBER(SEARCH(LV!$I$6, Kustannustehokas_ja_organisoitu!$C5)), "K", "E")</calculatedColumnFormula>
    </tableColumn>
    <tableColumn id="11" xr3:uid="{580DCC93-24BF-4695-A037-38063105FE9B}" name="Toimiala C" dataDxfId="152" totalsRowDxfId="151">
      <calculatedColumnFormula>IF(ISNUMBER(SEARCH(LV!$I$7, Kustannustehokas_ja_organisoitu!$C5)), "K", "E")</calculatedColumnFormula>
    </tableColumn>
    <tableColumn id="12" xr3:uid="{3A6324EA-CB3C-4069-9760-FDF39BF1607F}" name="Toimiala D" dataDxfId="150" totalsRowDxfId="149">
      <calculatedColumnFormula>IF(ISNUMBER(SEARCH(LV!$I$8, Kustannustehokas_ja_organisoitu!$C5)), "K", "E")</calculatedColumnFormula>
    </tableColumn>
    <tableColumn id="13" xr3:uid="{1AE98AC5-EB8F-4114-9E4A-7D8417024ADD}" name="Toimiala-_x000a_kysymys" dataDxfId="148" totalsRowDxfId="147">
      <calculatedColumnFormula>IF(OR(KysymyksetTaulukko2[[#This Row],[Toimiala A]]="K",KysymyksetTaulukko2[[#This Row],[Toimiala B]]="K",KysymyksetTaulukko2[[#This Row],[Toimiala C]]="K",KysymyksetTaulukko2[[#This Row],[Toimiala D]]="K"),"Kuuluu","Ei kuulu")</calculatedColumnFormula>
    </tableColumn>
    <tableColumn id="6" xr3:uid="{908B4963-F969-4413-9E59-9F40BA4C253A}" name="Luokka + toimiala" dataDxfId="146" totalsRowDxfId="145">
      <calculatedColumnFormula>IF(OR(KysymyksetTaulukko2[[#This Row],[Luokka]]="Ei kuulu",KysymyksetTaulukko2[[#This Row],[Toimiala-
kysymys]]="Ei kuulu"), "Ei kuulu", "Kuuluu")</calculatedColumnFormula>
    </tableColumn>
    <tableColumn id="17" xr3:uid="{AEE2CF4F-1B1F-45FE-9356-74F2E0ABB689}" name="SeliteOsittajaan" dataDxfId="144" totalsRowDxfId="143">
      <calculatedColumnFormula>IF(KysymyksetTaulukko2[[#This Row],[Luokka + toimiala]]="Kuuluu","a) Oman vesilaitoksen kysymykset","b) Muut kysymykset")</calculatedColumnFormula>
    </tableColumn>
    <tableColumn id="4" xr3:uid="{BAF5E382-37F1-438B-83A4-7F5F0EACC19A}" name="Pääkategoria" dataDxfId="142" totalsRowDxfId="141"/>
    <tableColumn id="5" xr3:uid="{2AA2A1DE-E7D4-4ACA-8368-9775BA6280D1}" name="Alakategoria_" dataDxfId="140" totalsRowDxfId="139"/>
    <tableColumn id="7" xr3:uid="{A8487B04-A165-4761-B350-71BA83EB3E0F}" name="Ala-_x000a_kategorianNro" dataDxfId="138" totalsRowDxfId="137">
      <calculatedColumnFormula>LEFT(KysymyksetTaulukko2[[#This Row],[Alakategoria_]],2)</calculatedColumnFormula>
    </tableColumn>
    <tableColumn id="24" xr3:uid="{ED8D0066-25A6-490D-B87D-B2D817A4B118}" name="HV" dataDxfId="136" totalsRowDxfId="135"/>
    <tableColumn id="25" xr3:uid="{F29B7C33-F209-4E08-91CE-98B131B57880}" name="Huolto-varmuus" dataDxfId="134" totalsRowDxfId="133"/>
    <tableColumn id="26" xr3:uid="{5CD6AEEA-CDD0-4F35-9EE5-3E6F5C093D1B}" name="Extra-_x000a_kriteeri" dataDxfId="132" totalsRowDxfId="131">
      <calculatedColumnFormula>IF(AND(KysymyksetTaulukko2[[#This Row],[Luokka]]="Extra",KysymyksetTaulukko2[[#This Row],[Luokka + toimiala]]="Kuuluu"),"Extra","")</calculatedColumnFormula>
    </tableColumn>
    <tableColumn id="27" xr3:uid="{900073F2-8CCF-4D69-B033-7AD44480A157}" name="Otsikkorivi" dataDxfId="130" totalsRowDxfId="129"/>
    <tableColumn id="2" xr3:uid="{47D182AB-05AE-45A1-B7FB-35EE69471DC2}" name="Kriteeri" dataDxfId="128" totalsRowDxfId="127"/>
    <tableColumn id="15" xr3:uid="{56553DE1-B343-4255-A3D6-292EE725DEC5}" name="Vastaus" dataDxfId="126" totalsRowDxfId="125"/>
    <tableColumn id="16" xr3:uid="{9CB28083-9098-4B12-A143-5C0042A20FFC}" name="Pisteet" dataDxfId="124" totalsRowDxfId="123">
      <calculatedColumnFormula>IF(AND(KysymyksetTaulukko2[[#This Row],[Luokka + toimiala]]="Kuuluu",KysymyksetTaulukko2[[#This Row],[Vastaus]]="Kyllä"),1,0)</calculatedColumnFormula>
    </tableColumn>
    <tableColumn id="8" xr3:uid="{45ED2EFC-E772-4084-95E1-0C715D53149E}" name="Onko vastattu" dataDxfId="122" totalsRowDxfId="121">
      <calculatedColumnFormula>IF(AND(KysymyksetTaulukko2[[#This Row],[Maksimipisteet]]=1,NOT(ISBLANK(KysymyksetTaulukko2[[#This Row],[Vastaus]]))),1,0)</calculatedColumnFormula>
    </tableColumn>
    <tableColumn id="18" xr3:uid="{B4B2D42D-F792-4922-9944-C27DC2F34E48}" name="Maksimipisteet" dataDxfId="120" totalsRowDxfId="119">
      <calculatedColumnFormula>IF(OR(KysymyksetTaulukko2[[#This Row],[Luokka + toimiala]]="Ei kuulu",KysymyksetTaulukko2[[#This Row],[Vastaus]]="Ei koske",KysymyksetTaulukko2[[#This Row],[Luokka]]="Extra",KysymyksetTaulukko2[[#This Row],[Otsikkorivi]]="Kyllä"),0,1)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F97F3A-15C4-4075-9C37-005C6FD5BF6A}" name="KysymyksetTaulukko3" displayName="KysymyksetTaulukko3" ref="A4:V43" totalsRowShown="0" headerRowDxfId="118" dataDxfId="117">
  <autoFilter ref="A4:V43" xr:uid="{5A26C62D-9597-4243-8B48-2A70AF302A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4154112E-D859-4AC7-B21E-6F608EDDAA55}" name="Kysymyk-sen _x000a_Luokka" dataDxfId="116" totalsRowDxfId="115"/>
    <tableColumn id="14" xr3:uid="{8D2F41DB-237B-4CB2-B2DB-D1E690D99A72}" name="Luokka" dataDxfId="114" totalsRowDxfId="113">
      <calculatedColumnFormula>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calculatedColumnFormula>
    </tableColumn>
    <tableColumn id="3" xr3:uid="{26F5961C-EE9D-47E8-86CE-1CC87B97055B}" name="Kysymyksen _x000a_Toimiala" dataDxfId="112" totalsRowDxfId="111"/>
    <tableColumn id="9" xr3:uid="{46265C65-2E74-4730-8EB4-3A56455627AF}" name="Toimiala A" dataDxfId="110">
      <calculatedColumnFormula>IF(ISNUMBER(SEARCH(LV!$I$5, Kestävä_ja_kehittyvä!C5)), "K", "E")</calculatedColumnFormula>
    </tableColumn>
    <tableColumn id="10" xr3:uid="{214A11F0-F3F8-4153-BF90-FAB29CE1E825}" name="Toimiala B" dataDxfId="109" totalsRowDxfId="108">
      <calculatedColumnFormula>IF(ISNUMBER(SEARCH(LV!$I$6, Kestävä_ja_kehittyvä!$C5)), "K", "E")</calculatedColumnFormula>
    </tableColumn>
    <tableColumn id="11" xr3:uid="{33D72E48-1D43-4A0E-8A21-70527B346721}" name="Toimiala C" dataDxfId="107" totalsRowDxfId="106">
      <calculatedColumnFormula>IF(ISNUMBER(SEARCH(LV!$I$7, Kestävä_ja_kehittyvä!$C5)), "K", "E")</calculatedColumnFormula>
    </tableColumn>
    <tableColumn id="12" xr3:uid="{3B7A92FA-7C7D-4E26-82FB-F5EDAAAE3F08}" name="Toimiala D" dataDxfId="105" totalsRowDxfId="104">
      <calculatedColumnFormula>IF(ISNUMBER(SEARCH(LV!$I$8, Kestävä_ja_kehittyvä!$C5)), "K", "E")</calculatedColumnFormula>
    </tableColumn>
    <tableColumn id="13" xr3:uid="{9CB7D49D-5128-492E-B0A3-215C1A7FCCCD}" name="Toimiala-_x000a_kysymys" dataDxfId="103" totalsRowDxfId="102">
      <calculatedColumnFormula>IF(OR(KysymyksetTaulukko3[[#This Row],[Toimiala A]]="K",KysymyksetTaulukko3[[#This Row],[Toimiala B]]="K",KysymyksetTaulukko3[[#This Row],[Toimiala C]]="K",KysymyksetTaulukko3[[#This Row],[Toimiala D]]="K"),"Kuuluu","Ei kuulu")</calculatedColumnFormula>
    </tableColumn>
    <tableColumn id="6" xr3:uid="{A660017D-0E22-4EE5-9354-B0ABE21CAAAE}" name="Luokka + toimiala" dataDxfId="101" totalsRowDxfId="100">
      <calculatedColumnFormula>IF(OR(KysymyksetTaulukko3[[#This Row],[Luokka]]="Ei kuulu",KysymyksetTaulukko3[[#This Row],[Toimiala-
kysymys]]="Ei kuulu"), "Ei kuulu", "Kuuluu")</calculatedColumnFormula>
    </tableColumn>
    <tableColumn id="17" xr3:uid="{2965BDA5-1034-4621-B342-89EC2D7F9208}" name="SeliteOsittajaan" dataDxfId="99" totalsRowDxfId="98">
      <calculatedColumnFormula>IF(KysymyksetTaulukko3[[#This Row],[Luokka + toimiala]]="Kuuluu","a) Oman vesilaitoksen kysymykset","b) Muut kysymykset")</calculatedColumnFormula>
    </tableColumn>
    <tableColumn id="4" xr3:uid="{CF8351CE-88EC-4A22-B19A-CC694E97A15B}" name="Pääkategoria" dataDxfId="97" totalsRowDxfId="96"/>
    <tableColumn id="5" xr3:uid="{96747015-9A02-4B55-8A6C-E5B23ECD5584}" name="Alakategoria_" dataDxfId="95" totalsRowDxfId="94"/>
    <tableColumn id="7" xr3:uid="{0CB6B1EF-4EED-4B64-8A1A-967403BA85D1}" name="Ala-_x000a_kategorianNro" dataDxfId="93" totalsRowDxfId="92">
      <calculatedColumnFormula>LEFT(KysymyksetTaulukko3[[#This Row],[Alakategoria_]],2)</calculatedColumnFormula>
    </tableColumn>
    <tableColumn id="24" xr3:uid="{7FEC42B7-3F4B-41A7-A2F1-2B9950D02CDD}" name="HV" dataDxfId="91" totalsRowDxfId="90"/>
    <tableColumn id="25" xr3:uid="{09E2872D-A8FD-4C87-A848-5865B3F61DD7}" name="Huolto-varmuus" dataDxfId="89" totalsRowDxfId="88"/>
    <tableColumn id="26" xr3:uid="{0382B742-8E55-4C73-BB01-4C4B0D12A44C}" name="Extra-_x000a_kriteeri" dataDxfId="87" totalsRowDxfId="86">
      <calculatedColumnFormula>IF(AND(KysymyksetTaulukko3[[#This Row],[Luokka]]="Extra",KysymyksetTaulukko3[[#This Row],[Luokka + toimiala]]="Kuuluu"),"Extra","")</calculatedColumnFormula>
    </tableColumn>
    <tableColumn id="27" xr3:uid="{C7A06A7C-0A56-42C2-91FF-3A4FE260C458}" name="Otsikkorivi" dataDxfId="85" totalsRowDxfId="84"/>
    <tableColumn id="2" xr3:uid="{FC007125-E065-48EA-BF83-051FE196476A}" name="Kriteeri" dataDxfId="83" totalsRowDxfId="82"/>
    <tableColumn id="15" xr3:uid="{0D3C5A55-B989-4F07-9A99-9F7C46A93533}" name="Vastaus" dataDxfId="81" totalsRowDxfId="80"/>
    <tableColumn id="16" xr3:uid="{B736AD91-5143-47F5-92C9-1EE6D164D30A}" name="Pisteet" dataDxfId="79" totalsRowDxfId="78">
      <calculatedColumnFormula>IF(AND(KysymyksetTaulukko3[[#This Row],[Luokka + toimiala]]="Kuuluu",KysymyksetTaulukko3[[#This Row],[Vastaus]]="Kyllä"),1,0)</calculatedColumnFormula>
    </tableColumn>
    <tableColumn id="8" xr3:uid="{61FE0E76-4416-406F-BBCE-96C2446F37F2}" name="Onko vastattu" dataDxfId="77" totalsRowDxfId="76">
      <calculatedColumnFormula>IF(AND(KysymyksetTaulukko3[[#This Row],[Maksimipisteet]]=1,NOT(ISBLANK(KysymyksetTaulukko3[[#This Row],[Vastaus]]))),1,0)</calculatedColumnFormula>
    </tableColumn>
    <tableColumn id="18" xr3:uid="{DA878B43-A99C-49F3-9C8B-0EB476B218A5}" name="Maksimipisteet" dataDxfId="75" totalsRowDxfId="74">
      <calculatedColumnFormula>IF(OR(KysymyksetTaulukko3[[#This Row],[Luokka + toimiala]]="Ei kuulu",KysymyksetTaulukko3[[#This Row],[Vastaus]]="Ei koske",KysymyksetTaulukko3[[#This Row],[Luokka]]="Extra",KysymyksetTaulukko3[[#This Row],[Otsikkorivi]]="Kyllä"),0,1)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69E2FB-62C0-4683-8BE1-7742786EFA93}" name="KorjattavaaTaulukko" displayName="KorjattavaaTaulukko" ref="A6:H148" totalsRowShown="0" headerRowDxfId="73" dataDxfId="71" headerRowBorderDxfId="72" tableBorderDxfId="70">
  <autoFilter ref="A6:H148" xr:uid="{C969E2FB-62C0-4683-8BE1-7742786EFA93}"/>
  <tableColumns count="8">
    <tableColumn id="1" xr3:uid="{C2C6C332-560E-40CE-ACDB-5A7CCC9C0990}" name="Kuuluuko kriteeri kyseisen laitoksen vastattavaksi" dataDxfId="69">
      <calculatedColumnFormula>Turvallinen_ja_toimintavarma!I5</calculatedColumnFormula>
    </tableColumn>
    <tableColumn id="9" xr3:uid="{890FAA2F-114D-459C-87C2-0C426CDEAD50}" name="Extra-kysymys" dataDxfId="68">
      <calculatedColumnFormula>Turvallinen_ja_toimintavarma!P5</calculatedColumnFormula>
    </tableColumn>
    <tableColumn id="8" xr3:uid="{8F44E568-905E-4D1C-9D11-4218F3CFDC3B}" name="Onko korjattavaa?" dataDxfId="67">
      <calculatedColumnFormula>IF(AND(A7="Kuuluu",H7="Ei",B7&lt;&gt;"Extra"),"Kyllä","Ei")</calculatedColumnFormula>
    </tableColumn>
    <tableColumn id="3" xr3:uid="{91A67E10-483C-4A67-86D1-A1D7D3048515}" name="Huoltovarmuuskriteeri" dataDxfId="66">
      <calculatedColumnFormula>IF(Turvallinen_ja_toimintavarma!N5="x","Kyllä","Ei")</calculatedColumnFormula>
    </tableColumn>
    <tableColumn id="4" xr3:uid="{F9BD5D0C-9192-4F2B-B990-10D55E38D78F}" name="Pääkategoria" dataDxfId="65">
      <calculatedColumnFormula>IF(ISBLANK(Turvallinen_ja_toimintavarma!K5),"_Otsikkorivi",Turvallinen_ja_toimintavarma!K5)</calculatedColumnFormula>
    </tableColumn>
    <tableColumn id="5" xr3:uid="{AF0D667B-6A9D-46AE-9547-6AF5E3FA3158}" name="Alakategoria" dataDxfId="64">
      <calculatedColumnFormula>Turvallinen_ja_toimintavarma!L5</calculatedColumnFormula>
    </tableColumn>
    <tableColumn id="6" xr3:uid="{976E5EB1-B613-473E-8248-A4F26257AC1C}" name="Arviointikriteeri" dataDxfId="63">
      <calculatedColumnFormula>IF(ISBLANK(Turvallinen_ja_toimintavarma!#REF!),"Otsikkorivi",Turvallinen_ja_toimintavarma!#REF!)</calculatedColumnFormula>
    </tableColumn>
    <tableColumn id="7" xr3:uid="{71A3BF98-3A23-4FB1-9846-B12D50884294}" name="Vastaus " dataDxfId="62">
      <calculatedColumnFormula>IF(ISBLANK(Turvallinen_ja_toimintavarma!S5),"",Turvallinen_ja_toimintavarma!S5)</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3812A1-1039-437B-89AD-97568F54B38E}" name="KorjattavaaTaulukko4" displayName="KorjattavaaTaulukko4" ref="A6:H148" totalsRowShown="0" headerRowDxfId="61" dataDxfId="59" headerRowBorderDxfId="60" tableBorderDxfId="58">
  <autoFilter ref="A6:H148" xr:uid="{C969E2FB-62C0-4683-8BE1-7742786EFA93}"/>
  <tableColumns count="8">
    <tableColumn id="1" xr3:uid="{BAA8EC83-0666-4507-A5DF-67FF8FAA72FE}" name="Kuuluuko kriteeri kyseisen laitoksen vastattavaksi" dataDxfId="57">
      <calculatedColumnFormula>Turvallinen_ja_toimintavarma!I5</calculatedColumnFormula>
    </tableColumn>
    <tableColumn id="9" xr3:uid="{22212CD1-252C-47A0-B4D7-7D12A6FD07C9}" name="Extra-kysymys" dataDxfId="56">
      <calculatedColumnFormula>Turvallinen_ja_toimintavarma!P5</calculatedColumnFormula>
    </tableColumn>
    <tableColumn id="8" xr3:uid="{00610092-8B6C-486F-9506-2D913A69A819}" name="Onko korjattavaa?" dataDxfId="55">
      <calculatedColumnFormula>IF(AND(A7="Kuuluu",H7="Ei",B7&lt;&gt;"Extra"),"Kyllä","Ei")</calculatedColumnFormula>
    </tableColumn>
    <tableColumn id="3" xr3:uid="{7DA7107A-A90F-4B43-8BAE-1F4E7FC543DD}" name="Huoltovarmuuskriteeri" dataDxfId="54">
      <calculatedColumnFormula>KorjattavaaTaulukko[[#This Row],[Huoltovarmuuskriteeri]]</calculatedColumnFormula>
    </tableColumn>
    <tableColumn id="4" xr3:uid="{485C1B15-5155-4E7E-BF4C-93A7E24E306E}" name="Pääkategoria" dataDxfId="53">
      <calculatedColumnFormula>KorjattavaaTaulukko[[#This Row],[Pääkategoria]]</calculatedColumnFormula>
    </tableColumn>
    <tableColumn id="5" xr3:uid="{72660202-32B6-49A3-A383-5A5AFE579EDE}" name="Alakategoria" dataDxfId="52">
      <calculatedColumnFormula>KorjattavaaTaulukko[[#This Row],[Alakategoria]]</calculatedColumnFormula>
    </tableColumn>
    <tableColumn id="6" xr3:uid="{2312AC0A-2ED4-4179-9B0B-8C8689C93AED}" name="Arviointikriteeri" dataDxfId="51">
      <calculatedColumnFormula>KorjattavaaTaulukko[[#This Row],[Arviointikriteeri]]</calculatedColumnFormula>
    </tableColumn>
    <tableColumn id="7" xr3:uid="{CFC4287E-9D9C-438C-9106-FE698CDADD90}" name="Vastaus " dataDxfId="50">
      <calculatedColumnFormula>KorjattavaaTaulukko[[#This Row],[Vastaus ]]</calculatedColumnFormula>
    </tableColumn>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829CEF9-39CA-4AC1-ACD4-DE7CFA4A6F40}" name="Koontitaulukko10" displayName="Koontitaulukko10" ref="A1:N143" totalsRowShown="0">
  <autoFilter ref="A1:N143" xr:uid="{26999DEF-217A-4D1C-B163-1389F5E5B771}">
    <filterColumn colId="5">
      <filters>
        <filter val="1. Laadukas, raakaveden laadun huomioiva, kriteerit täyttävä vedenkäsittelyprosessi"/>
        <filter val="10. Kestävä ja energiatehokas"/>
        <filter val="11. Asiakaspalvelu ja viestintä on suunniteltua ja läpinäkyvää"/>
        <filter val="2. Ajantasainen varautumis- ja valmiussuunnittelu ja yhteistyö muiden toimijoiden kanssa"/>
        <filter val="3. Kriittiset asiakkaat, väliaikainen vedenjakelu ja poikkeustilanteiden viestintä"/>
        <filter val="4. Kemikaalit, varaosat ja kriittiset palvelut"/>
        <filter val="5. Laitoksella on riittävät henkilöstöresurssit ja ammattitaitoinen henkilökunta, ja varallaolo on suunniteltu"/>
        <filter val="6. Omaisuuden hallinta, operointi ja kunnossapito on suunnitelmallista"/>
        <filter val="7. Johtaminen on suunniteltua ja toiminta on kannattavaa"/>
        <filter val="8. Käyttötalouden hallinta ja hankinnat ovat suunniteltuja, tehostettuja ja läpinäkyviä."/>
        <filter val="9. Jätevesien käsittelyn ja johtamisen ympäristökuormitus minimoidaan"/>
      </filters>
    </filterColumn>
  </autoFilter>
  <tableColumns count="14">
    <tableColumn id="1" xr3:uid="{74289B7D-A224-4BAD-B8EC-597651AC3198}" name="Kuuluuko kriteeri kyseisen laitoksen vastattavaksi">
      <calculatedColumnFormula>Turvallinen_ja_toimintavarma!I5</calculatedColumnFormula>
    </tableColumn>
    <tableColumn id="2" xr3:uid="{001C74F1-3905-4CD8-BEDE-9B233D28BD41}" name="Extra-kysymys">
      <calculatedColumnFormula>Turvallinen_ja_toimintavarma!P5</calculatedColumnFormula>
    </tableColumn>
    <tableColumn id="3" xr3:uid="{5F7F0690-FD55-45EA-991F-DF1B264718F0}" name="Kriteerin kokoluokka" dataDxfId="49">
      <calculatedColumnFormula>Turvallinen_ja_toimintavarma!A5</calculatedColumnFormula>
    </tableColumn>
    <tableColumn id="4" xr3:uid="{967F13E0-213B-4DED-8DA7-8DDB41E8C491}" name="Kriteerin toimiala">
      <calculatedColumnFormula>Turvallinen_ja_toimintavarma!C5</calculatedColumnFormula>
    </tableColumn>
    <tableColumn id="5" xr3:uid="{A6F4FAAB-F976-4497-B53C-41DC6A570011}" name="Pääkategoria" dataDxfId="48">
      <calculatedColumnFormula>IF(ISBLANK(Turvallinen_ja_toimintavarma!K5),"_Otsikkorivi",Turvallinen_ja_toimintavarma!K5)</calculatedColumnFormula>
    </tableColumn>
    <tableColumn id="6" xr3:uid="{4387E831-C608-44CB-B9A6-F5FFAC4A1182}" name="Alakategoria">
      <calculatedColumnFormula>Turvallinen_ja_toimintavarma!L5</calculatedColumnFormula>
    </tableColumn>
    <tableColumn id="7" xr3:uid="{194F231C-4118-4386-BF1E-1FA97D54B998}" name="Arviointikriteeri" dataDxfId="47">
      <calculatedColumnFormula>IF(ISBLANK(Turvallinen_ja_toimintavarma!#REF!),"Otsikkorivi",Turvallinen_ja_toimintavarma!#REF!)</calculatedColumnFormula>
    </tableColumn>
    <tableColumn id="8" xr3:uid="{99A89BD8-2267-4D0C-B88E-37B99CF4FE73}" name="Huoltovarmuus">
      <calculatedColumnFormula>IF(Turvallinen_ja_toimintavarma!N5="x","Kyllä","Ei")</calculatedColumnFormula>
    </tableColumn>
    <tableColumn id="9" xr3:uid="{1F98F245-0071-4217-9A8E-B654BF75EBE9}" name="Vastaus " dataDxfId="46">
      <calculatedColumnFormula>IF(ISBLANK(Turvallinen_ja_toimintavarma!S5),"",Turvallinen_ja_toimintavarma!S5)</calculatedColumnFormula>
    </tableColumn>
    <tableColumn id="10" xr3:uid="{6C513CB4-A055-43AB-8EA4-B770FE7A5372}" name="Vastaajan kokoluokka">
      <calculatedColumnFormula>LV!$B$10</calculatedColumnFormula>
    </tableColumn>
    <tableColumn id="11" xr3:uid="{59FCE4CC-875B-4177-B902-5ED148F872CC}" name="Vastaajan toimiala">
      <calculatedColumnFormula>LV!$I$18</calculatedColumnFormula>
    </tableColumn>
    <tableColumn id="12" xr3:uid="{F374405F-7B16-4D24-A780-5D928C8C9837}" name="Kunta" dataDxfId="45">
      <calculatedColumnFormula>IF(ISBLANK(Lähtötiedot!$O$18),"",Lähtötiedot!$O$18)</calculatedColumnFormula>
    </tableColumn>
    <tableColumn id="13" xr3:uid="{2226E64A-C3B1-4D2A-A2A4-18CE4C3FFB45}" name="Vesilaitoksen nimi" dataDxfId="44">
      <calculatedColumnFormula>IF(ISBLANK(Lähtötiedot!$O$16),"",Lähtötiedot!$O$16)</calculatedColumnFormula>
    </tableColumn>
    <tableColumn id="14" xr3:uid="{9DA5C425-11EC-42ED-B5B6-01028CCE3A37}" name="Vastauspvm" dataDxfId="43">
      <calculatedColumnFormula>IF(ISBLANK(Lähtötiedot!$O$15),"",Lähtötiedot!$O$15)</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999DEF-217A-4D1C-B163-1389F5E5B771}" name="Koontitaulukko" displayName="Koontitaulukko" ref="A1:N143" totalsRowShown="0">
  <autoFilter ref="A1:N143" xr:uid="{26999DEF-217A-4D1C-B163-1389F5E5B771}">
    <filterColumn colId="5">
      <filters>
        <filter val="1. Laadukas, raakaveden laadun huomioiva, kriteerit täyttävä vedenkäsittelyprosessi"/>
        <filter val="10. Kestävä ja energiatehokas"/>
        <filter val="11. Asiakaspalvelu ja viestintä on suunniteltua ja läpinäkyvää"/>
        <filter val="2. Ajantasainen varautumis- ja valmiussuunnittelu ja yhteistyö muiden toimijoiden kanssa"/>
        <filter val="3. Kriittiset asiakkaat, väliaikainen vedenjakelu ja poikkeustilanteiden viestintä"/>
        <filter val="4. Kemikaalit, varaosat ja kriittiset palvelut"/>
        <filter val="5. Laitoksella on riittävät henkilöstöresurssit ja ammattitaitoinen henkilökunta, ja varallaolo on suunniteltu"/>
        <filter val="6. Omaisuuden hallinta, operointi ja kunnossapito on suunnitelmallista"/>
        <filter val="7. Johtaminen on suunniteltua ja toiminta on kannattavaa"/>
        <filter val="8. Käyttötalouden hallinta ja hankinnat ovat suunniteltuja, tehostettuja ja läpinäkyviä."/>
        <filter val="9. Jätevesien käsittelyn ja johtamisen ympäristökuormitus minimoidaan"/>
      </filters>
    </filterColumn>
  </autoFilter>
  <tableColumns count="14">
    <tableColumn id="1" xr3:uid="{097A4A59-9ED3-464D-920B-FCB2817A71F0}" name="Kuuluuko kriteeri kyseisen laitoksen vastattavaksi">
      <calculatedColumnFormula>Koontitaulukko10[[#This Row],[Kuuluuko kriteeri kyseisen laitoksen vastattavaksi]]</calculatedColumnFormula>
    </tableColumn>
    <tableColumn id="2" xr3:uid="{B426F749-BB54-4B27-B857-F194912F5BDA}" name="Extra-kysymys">
      <calculatedColumnFormula>Koontitaulukko10[[#This Row],[Extra-kysymys]]</calculatedColumnFormula>
    </tableColumn>
    <tableColumn id="3" xr3:uid="{D9551557-3B72-458F-9EFE-8793C0DC1124}" name="Kriteerin kokoluokka" dataDxfId="42">
      <calculatedColumnFormula>Koontitaulukko10[[#This Row],[Kriteerin kokoluokka]]</calculatedColumnFormula>
    </tableColumn>
    <tableColumn id="4" xr3:uid="{790B856E-B441-4CA1-9AB4-773C784E4A16}" name="Kriteerin toimiala">
      <calculatedColumnFormula>Koontitaulukko10[[#This Row],[Kriteerin toimiala]]</calculatedColumnFormula>
    </tableColumn>
    <tableColumn id="5" xr3:uid="{6171F435-3645-4BAA-91C5-AD8C26F3034A}" name="Pääkategoria" dataDxfId="41">
      <calculatedColumnFormula>Koontitaulukko10[[#This Row],[Pääkategoria]]</calculatedColumnFormula>
    </tableColumn>
    <tableColumn id="6" xr3:uid="{EFF473C5-2319-4CB2-AA61-37259423CED8}" name="Alakategoria">
      <calculatedColumnFormula>Koontitaulukko10[[#This Row],[Alakategoria]]</calculatedColumnFormula>
    </tableColumn>
    <tableColumn id="7" xr3:uid="{915809D8-E555-4D39-A4AE-DC5A4FA8AEC1}" name="Arviointikriteeri" dataDxfId="40">
      <calculatedColumnFormula>Koontitaulukko10[[#This Row],[Arviointikriteeri]]</calculatedColumnFormula>
    </tableColumn>
    <tableColumn id="8" xr3:uid="{F5D8CC19-BAEB-4538-8A26-A4DE6ED0023F}" name="Huoltovarmuus">
      <calculatedColumnFormula>Koontitaulukko10[[#This Row],[Huoltovarmuus]]</calculatedColumnFormula>
    </tableColumn>
    <tableColumn id="9" xr3:uid="{7A32C864-857C-457C-A8BE-166B29C37674}" name="Vastaus " dataDxfId="39">
      <calculatedColumnFormula>Koontitaulukko10[[#This Row],[Vastaus ]]</calculatedColumnFormula>
    </tableColumn>
    <tableColumn id="10" xr3:uid="{9C7C36DF-8C5B-46EF-B416-BE1BCA5B21E8}" name="Vastaajan kokoluokka">
      <calculatedColumnFormula>Koontitaulukko10[[#This Row],[Vastaajan kokoluokka]]</calculatedColumnFormula>
    </tableColumn>
    <tableColumn id="11" xr3:uid="{9F559DA5-EE53-44C8-AAAA-EEBD688939E9}" name="Vastaajan toimiala">
      <calculatedColumnFormula>Koontitaulukko10[[#This Row],[Vastaajan toimiala]]</calculatedColumnFormula>
    </tableColumn>
    <tableColumn id="12" xr3:uid="{CE455B4A-FFE2-4935-8D0B-700901D39368}" name="Kunta" dataDxfId="38">
      <calculatedColumnFormula>Koontitaulukko10[[#This Row],[Kunta]]</calculatedColumnFormula>
    </tableColumn>
    <tableColumn id="13" xr3:uid="{6B93B704-779F-4E47-BBA3-20507B8C2E9A}" name="Vesilaitoksen nimi" dataDxfId="37">
      <calculatedColumnFormula>Koontitaulukko10[[#This Row],[Vesilaitoksen nimi]]</calculatedColumnFormula>
    </tableColumn>
    <tableColumn id="14" xr3:uid="{44B5DA26-55AC-4995-B9C0-B40AA879985A}" name="Vastauspvm" dataDxfId="36">
      <calculatedColumnFormula>Koontitaulukko10[[#This Row],[Vastauspvm]]</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microsoft.com/office/2007/relationships/slicer" Target="../slicers/slicer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microsoft.com/office/2007/relationships/slicer" Target="../slicers/slicer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microsoft.com/office/2007/relationships/slicer" Target="../slicers/slicer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microsoft.com/office/2007/relationships/slicer" Target="../slicers/slicer2.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microsoft.com/office/2007/relationships/slicer" Target="../slicers/slicer3.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7D41-CF60-4B82-BBB7-23654EBE82C0}">
  <sheetPr codeName="Sheet3">
    <tabColor rgb="FFBB90FF"/>
  </sheetPr>
  <dimension ref="A1:Y58"/>
  <sheetViews>
    <sheetView showGridLines="0" zoomScaleNormal="100" workbookViewId="0">
      <selection activeCell="D60" sqref="D60"/>
    </sheetView>
  </sheetViews>
  <sheetFormatPr defaultRowHeight="15" x14ac:dyDescent="0.25"/>
  <cols>
    <col min="1" max="1" width="4.140625" customWidth="1"/>
    <col min="3" max="3" width="4.140625" customWidth="1"/>
    <col min="6" max="6" width="12.5703125" customWidth="1"/>
    <col min="8" max="8" width="4.140625" customWidth="1"/>
  </cols>
  <sheetData>
    <row r="1" spans="1:25" x14ac:dyDescent="0.25">
      <c r="A1" s="54"/>
      <c r="B1" s="54"/>
      <c r="C1" s="54"/>
      <c r="D1" s="54"/>
      <c r="E1" s="54"/>
      <c r="F1" s="54"/>
      <c r="G1" s="54"/>
      <c r="H1" s="54"/>
      <c r="I1" s="54"/>
      <c r="J1" s="54"/>
      <c r="K1" s="54"/>
      <c r="L1" s="54"/>
      <c r="M1" s="54"/>
      <c r="N1" s="54"/>
      <c r="O1" s="54"/>
      <c r="P1" s="54"/>
      <c r="Q1" s="54"/>
      <c r="R1" s="54"/>
      <c r="S1" s="54"/>
      <c r="T1" s="54"/>
      <c r="U1" s="54"/>
      <c r="V1" s="54"/>
      <c r="W1" s="54"/>
      <c r="X1" s="54"/>
      <c r="Y1" s="54"/>
    </row>
    <row r="2" spans="1:25" x14ac:dyDescent="0.25">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25">
      <c r="A3" s="54"/>
      <c r="B3" s="54"/>
      <c r="C3" s="54"/>
      <c r="D3" s="54"/>
      <c r="E3" s="54"/>
      <c r="F3" s="54"/>
      <c r="G3" s="54"/>
      <c r="H3" s="54"/>
      <c r="I3" s="54"/>
      <c r="J3" s="54"/>
      <c r="K3" s="54"/>
      <c r="L3" s="54"/>
      <c r="M3" s="54"/>
      <c r="N3" s="54"/>
      <c r="O3" s="54"/>
      <c r="P3" s="54"/>
      <c r="Q3" s="54"/>
      <c r="R3" s="54"/>
      <c r="S3" s="54"/>
      <c r="T3" s="54"/>
      <c r="U3" s="54"/>
      <c r="V3" s="54"/>
      <c r="W3" s="54"/>
      <c r="X3" s="54"/>
      <c r="Y3" s="54"/>
    </row>
    <row r="4" spans="1:25" x14ac:dyDescent="0.25">
      <c r="A4" s="54"/>
      <c r="B4" s="54"/>
      <c r="C4" s="54"/>
      <c r="D4" s="54"/>
      <c r="E4" s="54"/>
      <c r="F4" s="54"/>
      <c r="G4" s="54"/>
      <c r="H4" s="54"/>
      <c r="I4" s="54"/>
      <c r="J4" s="54"/>
      <c r="K4" s="54"/>
      <c r="L4" s="54"/>
      <c r="M4" s="54"/>
      <c r="N4" s="54"/>
      <c r="O4" s="54"/>
      <c r="P4" s="54"/>
      <c r="Q4" s="54"/>
      <c r="R4" s="54"/>
      <c r="S4" s="54"/>
      <c r="T4" s="54"/>
      <c r="U4" s="54"/>
      <c r="V4" s="54"/>
      <c r="W4" s="54"/>
      <c r="X4" s="54"/>
      <c r="Y4" s="54"/>
    </row>
    <row r="5" spans="1:25" x14ac:dyDescent="0.25">
      <c r="A5" s="54"/>
      <c r="B5" s="54"/>
      <c r="C5" s="54"/>
      <c r="D5" s="54"/>
      <c r="E5" s="54"/>
      <c r="F5" s="54"/>
      <c r="G5" s="54"/>
      <c r="H5" s="54"/>
      <c r="I5" s="54"/>
      <c r="J5" s="54"/>
      <c r="K5" s="54"/>
      <c r="L5" s="54"/>
      <c r="M5" s="54"/>
      <c r="N5" s="54"/>
      <c r="O5" s="54"/>
      <c r="P5" s="54"/>
      <c r="Q5" s="54"/>
      <c r="R5" s="54"/>
      <c r="S5" s="54"/>
      <c r="T5" s="54"/>
      <c r="U5" s="54"/>
      <c r="V5" s="54"/>
      <c r="W5" s="54"/>
      <c r="X5" s="54"/>
      <c r="Y5" s="54"/>
    </row>
    <row r="6" spans="1:25" x14ac:dyDescent="0.25">
      <c r="A6" s="54"/>
      <c r="B6" s="54"/>
      <c r="C6" s="54"/>
      <c r="D6" s="54"/>
      <c r="E6" s="54"/>
      <c r="F6" s="54"/>
      <c r="G6" s="54"/>
      <c r="H6" s="54"/>
      <c r="I6" s="54"/>
      <c r="J6" s="54"/>
      <c r="K6" s="54"/>
      <c r="L6" s="54"/>
      <c r="M6" s="54"/>
      <c r="N6" s="54"/>
      <c r="O6" s="54"/>
      <c r="P6" s="54"/>
      <c r="Q6" s="54"/>
      <c r="R6" s="54"/>
      <c r="S6" s="54"/>
      <c r="T6" s="54"/>
      <c r="U6" s="54"/>
      <c r="V6" s="54"/>
      <c r="W6" s="54"/>
      <c r="X6" s="54"/>
      <c r="Y6" s="54"/>
    </row>
    <row r="7" spans="1:25" x14ac:dyDescent="0.25">
      <c r="A7" s="54"/>
      <c r="B7" s="54"/>
      <c r="C7" s="54"/>
      <c r="D7" s="54"/>
      <c r="E7" s="54"/>
      <c r="F7" s="54"/>
      <c r="G7" s="54"/>
      <c r="H7" s="54"/>
      <c r="I7" s="54"/>
      <c r="J7" s="54"/>
      <c r="K7" s="54"/>
      <c r="L7" s="54"/>
      <c r="M7" s="54"/>
      <c r="N7" s="54"/>
      <c r="O7" s="54"/>
      <c r="P7" s="54"/>
      <c r="Q7" s="54"/>
      <c r="R7" s="54"/>
      <c r="S7" s="54"/>
      <c r="T7" s="54"/>
      <c r="U7" s="54"/>
      <c r="V7" s="54"/>
      <c r="W7" s="54"/>
      <c r="X7" s="54"/>
      <c r="Y7" s="54"/>
    </row>
    <row r="8" spans="1:25" x14ac:dyDescent="0.25">
      <c r="A8" s="54"/>
      <c r="B8" s="54"/>
      <c r="C8" s="54"/>
      <c r="D8" s="54"/>
      <c r="E8" s="54"/>
      <c r="F8" s="54"/>
      <c r="G8" s="54"/>
      <c r="H8" s="54"/>
      <c r="I8" s="54"/>
      <c r="J8" s="54"/>
      <c r="K8" s="54"/>
      <c r="L8" s="54"/>
      <c r="M8" s="54"/>
      <c r="N8" s="54"/>
      <c r="O8" s="54"/>
      <c r="P8" s="54"/>
      <c r="Q8" s="54"/>
      <c r="R8" s="54"/>
      <c r="S8" s="54"/>
      <c r="T8" s="54"/>
      <c r="U8" s="54"/>
      <c r="V8" s="54"/>
      <c r="W8" s="54"/>
      <c r="X8" s="54"/>
      <c r="Y8" s="54"/>
    </row>
    <row r="9" spans="1:25" ht="26.25" x14ac:dyDescent="0.4">
      <c r="A9" s="54"/>
      <c r="B9" s="54"/>
      <c r="C9" s="56" t="s">
        <v>218</v>
      </c>
      <c r="D9" s="54"/>
      <c r="E9" s="54"/>
      <c r="F9" s="54"/>
      <c r="G9" s="54"/>
      <c r="H9" s="54"/>
      <c r="I9" s="54"/>
      <c r="J9" s="54"/>
      <c r="K9" s="54"/>
      <c r="L9" s="54"/>
      <c r="M9" s="54"/>
      <c r="N9" s="54"/>
      <c r="O9" s="54"/>
      <c r="P9" s="54"/>
      <c r="Q9" s="54"/>
      <c r="R9" s="54"/>
      <c r="S9" s="54"/>
      <c r="T9" s="54"/>
      <c r="U9" s="54"/>
      <c r="V9" s="54"/>
      <c r="W9" s="54"/>
      <c r="X9" s="54"/>
      <c r="Y9" s="54"/>
    </row>
    <row r="10" spans="1:25" x14ac:dyDescent="0.25">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25">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ht="24.6" customHeight="1" x14ac:dyDescent="0.25">
      <c r="A12" s="54"/>
      <c r="B12" s="54"/>
      <c r="C12" s="176" t="str">
        <f>LV!B21</f>
        <v>1) Valitse kokoluokka</v>
      </c>
      <c r="D12" s="176"/>
      <c r="E12" s="176"/>
      <c r="F12" s="176"/>
      <c r="G12" s="54"/>
      <c r="H12" s="176" t="str">
        <f>LV!I21</f>
        <v>2) Valitse toimiala</v>
      </c>
      <c r="I12" s="176"/>
      <c r="J12" s="176"/>
      <c r="K12" s="176"/>
      <c r="L12" s="54"/>
      <c r="M12" s="176" t="str">
        <f>LV!M21</f>
        <v>3) Kirjaa vastaajan tiedot</v>
      </c>
      <c r="N12" s="176"/>
      <c r="O12" s="176"/>
      <c r="P12" s="176"/>
      <c r="Q12" s="176"/>
      <c r="R12" s="176"/>
      <c r="S12" s="176"/>
      <c r="T12" s="54"/>
      <c r="U12" s="54"/>
      <c r="V12" s="54"/>
      <c r="W12" s="54"/>
      <c r="X12" s="54"/>
      <c r="Y12" s="54"/>
    </row>
    <row r="13" spans="1:25" ht="18.75" x14ac:dyDescent="0.3">
      <c r="A13" s="54"/>
      <c r="B13" s="54"/>
      <c r="C13" s="54"/>
      <c r="D13" s="54"/>
      <c r="E13" s="54"/>
      <c r="F13" s="54"/>
      <c r="G13" s="54"/>
      <c r="H13" s="54"/>
      <c r="I13" s="54"/>
      <c r="J13" s="54"/>
      <c r="K13" s="54"/>
      <c r="L13" s="54"/>
      <c r="M13" s="55"/>
      <c r="N13" s="54"/>
      <c r="O13" s="54"/>
      <c r="P13" s="54"/>
      <c r="Q13" s="54"/>
      <c r="R13" s="54"/>
      <c r="S13" s="54"/>
      <c r="T13" s="54"/>
      <c r="U13" s="54"/>
      <c r="V13" s="54"/>
      <c r="W13" s="54"/>
      <c r="X13" s="54"/>
      <c r="Y13" s="54"/>
    </row>
    <row r="14" spans="1:25" ht="18.75" x14ac:dyDescent="0.3">
      <c r="A14" s="54"/>
      <c r="B14" s="54"/>
      <c r="C14" s="49" t="s">
        <v>165</v>
      </c>
      <c r="D14" s="50"/>
      <c r="E14" s="50"/>
      <c r="F14" s="50"/>
      <c r="G14" s="54"/>
      <c r="H14" s="49" t="s">
        <v>4</v>
      </c>
      <c r="I14" s="50"/>
      <c r="J14" s="50"/>
      <c r="K14" s="50"/>
      <c r="L14" s="54"/>
      <c r="M14" s="52" t="s">
        <v>221</v>
      </c>
      <c r="N14" s="53"/>
      <c r="O14" s="53"/>
      <c r="P14" s="53"/>
      <c r="Q14" s="53"/>
      <c r="R14" s="53"/>
      <c r="S14" s="53"/>
      <c r="T14" s="54"/>
      <c r="U14" s="54"/>
      <c r="V14" s="54"/>
      <c r="W14" s="54"/>
      <c r="X14" s="54"/>
      <c r="Y14" s="54"/>
    </row>
    <row r="15" spans="1:25" ht="20.45" customHeight="1" x14ac:dyDescent="0.25">
      <c r="A15" s="54"/>
      <c r="B15" s="54"/>
      <c r="C15" s="161"/>
      <c r="D15" s="47" t="s">
        <v>169</v>
      </c>
      <c r="E15" s="40"/>
      <c r="F15" s="40"/>
      <c r="G15" s="54"/>
      <c r="H15" s="161"/>
      <c r="I15" s="47" t="s">
        <v>208</v>
      </c>
      <c r="J15" s="48"/>
      <c r="K15" s="48"/>
      <c r="L15" s="54"/>
      <c r="M15" s="47" t="s">
        <v>202</v>
      </c>
      <c r="N15" s="48"/>
      <c r="O15" s="177"/>
      <c r="P15" s="174"/>
      <c r="Q15" s="174"/>
      <c r="R15" s="174"/>
      <c r="S15" s="175"/>
      <c r="T15" s="54"/>
      <c r="U15" s="54"/>
      <c r="V15" s="54"/>
      <c r="W15" s="54"/>
      <c r="X15" s="54"/>
      <c r="Y15" s="54"/>
    </row>
    <row r="16" spans="1:25" ht="20.45" customHeight="1" x14ac:dyDescent="0.25">
      <c r="A16" s="54"/>
      <c r="B16" s="54"/>
      <c r="C16" s="161"/>
      <c r="D16" s="47" t="s">
        <v>168</v>
      </c>
      <c r="E16" s="40"/>
      <c r="F16" s="40"/>
      <c r="G16" s="54"/>
      <c r="H16" s="161"/>
      <c r="I16" s="47" t="s">
        <v>209</v>
      </c>
      <c r="J16" s="48"/>
      <c r="K16" s="48"/>
      <c r="L16" s="54"/>
      <c r="M16" s="47" t="s">
        <v>203</v>
      </c>
      <c r="N16" s="51"/>
      <c r="O16" s="173"/>
      <c r="P16" s="174"/>
      <c r="Q16" s="174"/>
      <c r="R16" s="174"/>
      <c r="S16" s="175"/>
      <c r="T16" s="54"/>
      <c r="U16" s="54"/>
      <c r="V16" s="54"/>
      <c r="W16" s="54"/>
      <c r="X16" s="54"/>
      <c r="Y16" s="54"/>
    </row>
    <row r="17" spans="1:25" ht="19.5" x14ac:dyDescent="0.25">
      <c r="A17" s="54"/>
      <c r="B17" s="54"/>
      <c r="C17" s="161"/>
      <c r="D17" s="47" t="s">
        <v>167</v>
      </c>
      <c r="E17" s="40"/>
      <c r="F17" s="40"/>
      <c r="G17" s="54"/>
      <c r="H17" s="161"/>
      <c r="I17" s="47" t="s">
        <v>210</v>
      </c>
      <c r="J17" s="48"/>
      <c r="K17" s="48"/>
      <c r="L17" s="54"/>
      <c r="M17" s="47" t="s">
        <v>204</v>
      </c>
      <c r="N17" s="48"/>
      <c r="O17" s="173"/>
      <c r="P17" s="174"/>
      <c r="Q17" s="174"/>
      <c r="R17" s="174"/>
      <c r="S17" s="175"/>
      <c r="T17" s="54"/>
      <c r="U17" s="54"/>
      <c r="V17" s="54"/>
      <c r="W17" s="54"/>
      <c r="X17" s="54"/>
      <c r="Y17" s="54"/>
    </row>
    <row r="18" spans="1:25" ht="19.5" x14ac:dyDescent="0.25">
      <c r="A18" s="54"/>
      <c r="B18" s="54"/>
      <c r="C18" s="161"/>
      <c r="D18" s="47" t="s">
        <v>166</v>
      </c>
      <c r="E18" s="40"/>
      <c r="F18" s="40"/>
      <c r="G18" s="54"/>
      <c r="H18" s="161"/>
      <c r="I18" s="47" t="s">
        <v>211</v>
      </c>
      <c r="J18" s="48"/>
      <c r="K18" s="48"/>
      <c r="L18" s="54"/>
      <c r="M18" s="47" t="s">
        <v>207</v>
      </c>
      <c r="N18" s="45"/>
      <c r="O18" s="173"/>
      <c r="P18" s="174"/>
      <c r="Q18" s="174"/>
      <c r="R18" s="174"/>
      <c r="S18" s="175"/>
      <c r="T18" s="54"/>
      <c r="U18" s="54"/>
      <c r="V18" s="54"/>
      <c r="W18" s="54"/>
      <c r="X18" s="54"/>
      <c r="Y18" s="54"/>
    </row>
    <row r="19" spans="1:25" x14ac:dyDescent="0.25">
      <c r="A19" s="54"/>
      <c r="B19" s="54"/>
      <c r="C19" s="54"/>
      <c r="D19" s="54"/>
      <c r="E19" s="54"/>
      <c r="F19" s="54"/>
      <c r="G19" s="54"/>
      <c r="H19" s="54"/>
      <c r="I19" s="54"/>
      <c r="J19" s="54"/>
      <c r="K19" s="54"/>
      <c r="L19" s="54"/>
      <c r="M19" s="54"/>
      <c r="N19" s="54"/>
      <c r="O19" s="54"/>
      <c r="P19" s="54"/>
      <c r="Q19" s="54"/>
      <c r="R19" s="54"/>
      <c r="S19" s="54"/>
      <c r="T19" s="54"/>
      <c r="U19" s="54"/>
      <c r="V19" s="54"/>
      <c r="W19" s="54"/>
      <c r="X19" s="54"/>
      <c r="Y19" s="54"/>
    </row>
    <row r="20" spans="1:25" x14ac:dyDescent="0.25">
      <c r="A20" s="54"/>
      <c r="B20" s="54"/>
      <c r="C20" s="54"/>
      <c r="D20" s="54"/>
      <c r="E20" s="54"/>
      <c r="F20" s="54"/>
      <c r="G20" s="54"/>
      <c r="H20" s="54"/>
      <c r="I20" s="54"/>
      <c r="J20" s="54"/>
      <c r="K20" s="54"/>
      <c r="L20" s="54"/>
      <c r="M20" s="54"/>
      <c r="N20" s="54"/>
      <c r="O20" s="54"/>
      <c r="P20" s="54"/>
      <c r="Q20" s="54"/>
      <c r="R20" s="54"/>
      <c r="S20" s="54"/>
      <c r="T20" s="54"/>
      <c r="U20" s="54"/>
      <c r="V20" s="54"/>
      <c r="W20" s="54"/>
      <c r="X20" s="54"/>
      <c r="Y20" s="54"/>
    </row>
    <row r="21" spans="1:25" x14ac:dyDescent="0.25">
      <c r="A21" s="54"/>
      <c r="B21" s="54"/>
      <c r="C21" s="54"/>
      <c r="D21" s="54"/>
      <c r="E21" s="54"/>
      <c r="F21" s="54"/>
      <c r="G21" s="54"/>
      <c r="H21" s="54"/>
      <c r="I21" s="54"/>
      <c r="J21" s="54"/>
      <c r="K21" s="54"/>
      <c r="L21" s="54"/>
      <c r="M21" s="54"/>
      <c r="N21" s="54"/>
      <c r="O21" s="54"/>
      <c r="P21" s="54"/>
      <c r="Q21" s="54"/>
      <c r="R21" s="54"/>
      <c r="S21" s="54"/>
      <c r="T21" s="54"/>
      <c r="U21" s="54"/>
      <c r="V21" s="54"/>
      <c r="W21" s="54"/>
      <c r="X21" s="54"/>
      <c r="Y21" s="54"/>
    </row>
    <row r="22" spans="1:25" ht="21" x14ac:dyDescent="0.25">
      <c r="A22" s="54"/>
      <c r="B22" s="166" t="s">
        <v>271</v>
      </c>
      <c r="C22" s="100"/>
      <c r="D22" s="100"/>
      <c r="E22" s="100"/>
      <c r="F22" s="100"/>
      <c r="G22" s="100"/>
      <c r="H22" s="100"/>
      <c r="I22" s="100"/>
      <c r="J22" s="100"/>
      <c r="K22" s="100"/>
      <c r="L22" s="100"/>
      <c r="M22" s="100"/>
      <c r="N22" s="100"/>
      <c r="O22" s="100"/>
      <c r="P22" s="100"/>
      <c r="Q22" s="100"/>
      <c r="R22" s="100"/>
      <c r="S22" s="100"/>
      <c r="T22" s="100"/>
      <c r="U22" s="100"/>
      <c r="V22" s="100"/>
      <c r="W22" s="100"/>
      <c r="X22" s="100"/>
      <c r="Y22" s="54"/>
    </row>
    <row r="23" spans="1:25" x14ac:dyDescent="0.25">
      <c r="A23" s="54"/>
      <c r="B23" s="167" t="s">
        <v>272</v>
      </c>
      <c r="C23" s="100"/>
      <c r="D23" s="100"/>
      <c r="E23" s="100"/>
      <c r="F23" s="100"/>
      <c r="G23" s="100"/>
      <c r="H23" s="100"/>
      <c r="I23" s="100"/>
      <c r="J23" s="100"/>
      <c r="K23" s="100"/>
      <c r="L23" s="100"/>
      <c r="M23" s="100"/>
      <c r="N23" s="100"/>
      <c r="O23" s="100"/>
      <c r="P23" s="100"/>
      <c r="Q23" s="100"/>
      <c r="R23" s="100"/>
      <c r="S23" s="100"/>
      <c r="T23" s="100"/>
      <c r="U23" s="100"/>
      <c r="V23" s="100"/>
      <c r="W23" s="100"/>
      <c r="X23" s="100"/>
      <c r="Y23" s="54"/>
    </row>
    <row r="24" spans="1:25" x14ac:dyDescent="0.25">
      <c r="A24" s="54"/>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54"/>
    </row>
    <row r="25" spans="1:25" x14ac:dyDescent="0.25">
      <c r="A25" s="54"/>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54"/>
    </row>
    <row r="26" spans="1:25" x14ac:dyDescent="0.25">
      <c r="A26" s="54"/>
      <c r="B26" s="54"/>
      <c r="C26" s="54"/>
      <c r="D26" s="54"/>
      <c r="E26" s="54"/>
      <c r="F26" s="54"/>
      <c r="G26" s="54"/>
      <c r="H26" s="54"/>
      <c r="I26" s="54"/>
      <c r="J26" s="54"/>
      <c r="K26" s="54"/>
      <c r="L26" s="54"/>
      <c r="M26" s="54"/>
      <c r="N26" s="54"/>
      <c r="O26" s="54"/>
      <c r="P26" s="54"/>
      <c r="Q26" s="54"/>
      <c r="R26" s="54"/>
      <c r="S26" s="54"/>
      <c r="T26" s="54"/>
      <c r="U26" s="54"/>
      <c r="V26" s="54"/>
      <c r="W26" s="54"/>
      <c r="X26" s="54"/>
      <c r="Y26" s="54"/>
    </row>
    <row r="27" spans="1:25"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54"/>
      <c r="Y27" s="54"/>
    </row>
    <row r="28" spans="1:25" x14ac:dyDescent="0.25">
      <c r="A28" s="54"/>
      <c r="B28" s="54"/>
      <c r="C28" s="54"/>
      <c r="D28" s="54"/>
      <c r="E28" s="54"/>
      <c r="F28" s="54"/>
      <c r="G28" s="54"/>
      <c r="H28" s="54"/>
      <c r="I28" s="54"/>
      <c r="J28" s="54"/>
      <c r="K28" s="54"/>
      <c r="L28" s="54"/>
      <c r="M28" s="54"/>
      <c r="N28" s="54"/>
      <c r="O28" s="54"/>
      <c r="P28" s="54"/>
      <c r="Q28" s="54"/>
      <c r="R28" s="54"/>
      <c r="S28" s="54"/>
      <c r="T28" s="54"/>
      <c r="U28" s="54"/>
      <c r="V28" s="54"/>
      <c r="W28" s="54"/>
      <c r="X28" s="54"/>
      <c r="Y28" s="54"/>
    </row>
    <row r="29" spans="1:25" x14ac:dyDescent="0.25">
      <c r="A29" s="54"/>
      <c r="B29" s="54"/>
      <c r="C29" s="54"/>
      <c r="D29" s="54"/>
      <c r="E29" s="54"/>
      <c r="F29" s="54"/>
      <c r="G29" s="54"/>
      <c r="H29" s="54"/>
      <c r="I29" s="54"/>
      <c r="J29" s="54"/>
      <c r="K29" s="54"/>
      <c r="L29" s="54"/>
      <c r="M29" s="54"/>
      <c r="N29" s="54"/>
      <c r="O29" s="54"/>
      <c r="P29" s="54"/>
      <c r="Q29" s="54"/>
      <c r="R29" s="54"/>
      <c r="S29" s="54"/>
      <c r="T29" s="54"/>
      <c r="U29" s="54"/>
      <c r="V29" s="54"/>
      <c r="W29" s="54"/>
      <c r="X29" s="54"/>
      <c r="Y29" s="54"/>
    </row>
    <row r="30" spans="1:25" x14ac:dyDescent="0.25">
      <c r="A30" s="54"/>
      <c r="B30" s="54"/>
      <c r="C30" s="54"/>
      <c r="D30" s="54"/>
      <c r="E30" s="54"/>
      <c r="F30" s="54"/>
      <c r="G30" s="54"/>
      <c r="H30" s="54"/>
      <c r="I30" s="54"/>
      <c r="J30" s="54"/>
      <c r="K30" s="54"/>
      <c r="L30" s="54"/>
      <c r="M30" s="54"/>
      <c r="N30" s="54"/>
      <c r="O30" s="54"/>
      <c r="P30" s="54"/>
      <c r="Q30" s="54"/>
      <c r="R30" s="54"/>
      <c r="S30" s="54"/>
      <c r="T30" s="54"/>
      <c r="U30" s="54"/>
      <c r="V30" s="54"/>
      <c r="W30" s="54"/>
      <c r="X30" s="54"/>
      <c r="Y30" s="54"/>
    </row>
    <row r="31" spans="1:25"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25">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25">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2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2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25">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25">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x14ac:dyDescent="0.25">
      <c r="A39" s="54"/>
      <c r="B39" s="54"/>
      <c r="C39" s="54"/>
      <c r="D39" s="54"/>
      <c r="E39" s="54"/>
      <c r="F39" s="54"/>
      <c r="G39" s="54"/>
      <c r="H39" s="54"/>
      <c r="I39" s="54"/>
      <c r="J39" s="54"/>
      <c r="K39" s="54"/>
      <c r="L39" s="54"/>
      <c r="M39" s="54"/>
      <c r="N39" s="54"/>
      <c r="O39" s="54"/>
      <c r="P39" s="54"/>
      <c r="Q39" s="54"/>
      <c r="R39" s="54"/>
      <c r="S39" s="54"/>
      <c r="T39" s="54"/>
      <c r="U39" s="54"/>
      <c r="V39" s="54"/>
      <c r="W39" s="54"/>
      <c r="X39" s="54"/>
      <c r="Y39" s="54"/>
    </row>
    <row r="40" spans="1:25" x14ac:dyDescent="0.25">
      <c r="A40" s="54"/>
      <c r="B40" s="54"/>
      <c r="C40" s="54"/>
      <c r="D40" s="54"/>
      <c r="E40" s="54"/>
      <c r="F40" s="54"/>
      <c r="G40" s="54"/>
      <c r="H40" s="54"/>
      <c r="I40" s="54"/>
      <c r="J40" s="54"/>
      <c r="K40" s="54"/>
      <c r="L40" s="54"/>
      <c r="M40" s="54"/>
      <c r="N40" s="54"/>
      <c r="O40" s="54"/>
      <c r="P40" s="54"/>
      <c r="Q40" s="54"/>
      <c r="R40" s="54"/>
      <c r="S40" s="54"/>
      <c r="T40" s="54"/>
      <c r="U40" s="54"/>
      <c r="V40" s="54"/>
      <c r="W40" s="54"/>
      <c r="X40" s="54"/>
      <c r="Y40" s="54"/>
    </row>
    <row r="41" spans="1:25"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c r="Y41" s="54"/>
    </row>
    <row r="42" spans="1:25" x14ac:dyDescent="0.25">
      <c r="A42" s="54"/>
      <c r="B42" s="54"/>
      <c r="C42" s="54"/>
      <c r="D42" s="54"/>
      <c r="E42" s="54"/>
      <c r="F42" s="54"/>
      <c r="G42" s="54"/>
      <c r="H42" s="54"/>
      <c r="I42" s="54"/>
      <c r="J42" s="54"/>
      <c r="K42" s="54"/>
      <c r="L42" s="54"/>
      <c r="M42" s="54"/>
      <c r="N42" s="54"/>
      <c r="O42" s="54"/>
      <c r="P42" s="54"/>
      <c r="Q42" s="54"/>
      <c r="R42" s="54"/>
      <c r="S42" s="54"/>
      <c r="T42" s="54"/>
      <c r="U42" s="54"/>
      <c r="V42" s="54"/>
      <c r="W42" s="54"/>
      <c r="X42" s="54"/>
      <c r="Y42" s="54"/>
    </row>
    <row r="43" spans="1:25"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54"/>
    </row>
    <row r="44" spans="1:25" x14ac:dyDescent="0.25">
      <c r="A44" s="54"/>
      <c r="B44" s="54"/>
      <c r="C44" s="54"/>
      <c r="D44" s="54"/>
      <c r="E44" s="54"/>
      <c r="F44" s="54"/>
      <c r="G44" s="54"/>
      <c r="H44" s="54"/>
      <c r="I44" s="54"/>
      <c r="J44" s="54"/>
      <c r="K44" s="54"/>
      <c r="L44" s="54"/>
      <c r="M44" s="54"/>
      <c r="N44" s="54"/>
      <c r="O44" s="54"/>
      <c r="P44" s="54"/>
      <c r="Q44" s="54"/>
      <c r="R44" s="54"/>
      <c r="S44" s="54"/>
      <c r="T44" s="54"/>
      <c r="U44" s="54"/>
      <c r="V44" s="54"/>
      <c r="W44" s="54"/>
      <c r="X44" s="54"/>
      <c r="Y44" s="54"/>
    </row>
    <row r="45" spans="1:25" x14ac:dyDescent="0.25">
      <c r="A45" s="54"/>
      <c r="B45" s="54"/>
      <c r="C45" s="54"/>
      <c r="D45" s="54"/>
      <c r="E45" s="54"/>
      <c r="F45" s="54"/>
      <c r="G45" s="54"/>
      <c r="H45" s="54"/>
      <c r="I45" s="54"/>
      <c r="J45" s="54"/>
      <c r="K45" s="54"/>
      <c r="L45" s="54"/>
      <c r="M45" s="54"/>
      <c r="N45" s="54"/>
      <c r="O45" s="54"/>
      <c r="P45" s="54"/>
      <c r="Q45" s="54"/>
      <c r="R45" s="54"/>
      <c r="S45" s="54"/>
      <c r="T45" s="54"/>
      <c r="U45" s="54"/>
      <c r="V45" s="54"/>
      <c r="W45" s="54"/>
      <c r="X45" s="54"/>
      <c r="Y45" s="54"/>
    </row>
    <row r="46" spans="1:25" x14ac:dyDescent="0.25">
      <c r="A46" s="54"/>
      <c r="B46" s="54"/>
      <c r="C46" s="54"/>
      <c r="D46" s="54"/>
      <c r="E46" s="54"/>
      <c r="F46" s="54"/>
      <c r="G46" s="54"/>
      <c r="H46" s="54"/>
      <c r="I46" s="54"/>
      <c r="J46" s="54"/>
      <c r="K46" s="54"/>
      <c r="L46" s="54"/>
      <c r="M46" s="54"/>
      <c r="N46" s="54"/>
      <c r="O46" s="54"/>
      <c r="P46" s="54"/>
      <c r="Q46" s="54"/>
      <c r="R46" s="54"/>
      <c r="S46" s="54"/>
      <c r="T46" s="54"/>
      <c r="U46" s="54"/>
      <c r="V46" s="54"/>
      <c r="W46" s="54"/>
      <c r="X46" s="54"/>
      <c r="Y46" s="54"/>
    </row>
    <row r="47" spans="1:25" x14ac:dyDescent="0.25">
      <c r="A47" s="54"/>
      <c r="B47" s="54"/>
      <c r="C47" s="54"/>
      <c r="D47" s="54"/>
      <c r="E47" s="54"/>
      <c r="F47" s="54"/>
      <c r="G47" s="54"/>
      <c r="H47" s="54"/>
      <c r="I47" s="54"/>
      <c r="J47" s="54"/>
      <c r="K47" s="54"/>
      <c r="L47" s="54"/>
      <c r="M47" s="54"/>
      <c r="N47" s="54"/>
      <c r="O47" s="54"/>
      <c r="P47" s="54"/>
      <c r="Q47" s="54"/>
      <c r="R47" s="54"/>
      <c r="S47" s="54"/>
      <c r="T47" s="54"/>
      <c r="U47" s="54"/>
      <c r="V47" s="54"/>
      <c r="W47" s="54"/>
      <c r="X47" s="54"/>
      <c r="Y47" s="54"/>
    </row>
    <row r="48" spans="1:25" x14ac:dyDescent="0.25">
      <c r="A48" s="54"/>
      <c r="B48" s="54"/>
      <c r="C48" s="54"/>
      <c r="D48" s="54"/>
      <c r="E48" s="54"/>
      <c r="F48" s="54"/>
      <c r="G48" s="54"/>
      <c r="H48" s="54"/>
      <c r="I48" s="54"/>
      <c r="J48" s="54"/>
      <c r="K48" s="54"/>
      <c r="L48" s="54"/>
      <c r="M48" s="54"/>
      <c r="N48" s="54"/>
      <c r="O48" s="54"/>
      <c r="P48" s="54"/>
      <c r="Q48" s="54"/>
      <c r="R48" s="54"/>
      <c r="S48" s="54"/>
      <c r="T48" s="54"/>
      <c r="U48" s="54"/>
      <c r="V48" s="54"/>
      <c r="W48" s="54"/>
      <c r="X48" s="54"/>
      <c r="Y48" s="54"/>
    </row>
    <row r="49" spans="1:25" x14ac:dyDescent="0.25">
      <c r="A49" s="54"/>
      <c r="B49" s="54"/>
      <c r="C49" s="54"/>
      <c r="D49" s="54"/>
      <c r="E49" s="54"/>
      <c r="F49" s="54"/>
      <c r="G49" s="54"/>
      <c r="H49" s="54"/>
      <c r="I49" s="54"/>
      <c r="J49" s="54"/>
      <c r="K49" s="54"/>
      <c r="L49" s="54"/>
      <c r="M49" s="54"/>
      <c r="N49" s="54"/>
      <c r="O49" s="54"/>
      <c r="P49" s="54"/>
      <c r="Q49" s="54"/>
      <c r="R49" s="54"/>
      <c r="S49" s="54"/>
      <c r="T49" s="54"/>
      <c r="U49" s="54"/>
      <c r="V49" s="54"/>
      <c r="W49" s="54"/>
      <c r="X49" s="54"/>
      <c r="Y49" s="54"/>
    </row>
    <row r="50" spans="1:25" x14ac:dyDescent="0.25">
      <c r="A50" s="54"/>
      <c r="B50" s="54"/>
      <c r="C50" s="54"/>
      <c r="D50" s="54"/>
      <c r="E50" s="54"/>
      <c r="F50" s="54"/>
      <c r="G50" s="54"/>
      <c r="H50" s="54"/>
      <c r="I50" s="54"/>
      <c r="J50" s="54"/>
      <c r="K50" s="54"/>
      <c r="L50" s="54"/>
      <c r="M50" s="54"/>
      <c r="N50" s="54"/>
      <c r="O50" s="54"/>
      <c r="P50" s="54"/>
      <c r="Q50" s="54"/>
      <c r="R50" s="54"/>
      <c r="S50" s="54"/>
      <c r="T50" s="54"/>
      <c r="U50" s="54"/>
      <c r="V50" s="54"/>
      <c r="W50" s="54"/>
      <c r="X50" s="54"/>
      <c r="Y50" s="54"/>
    </row>
    <row r="51" spans="1:25" x14ac:dyDescent="0.25">
      <c r="A51" s="54"/>
      <c r="B51" s="54"/>
      <c r="C51" s="54"/>
      <c r="D51" s="54"/>
      <c r="E51" s="54"/>
      <c r="F51" s="54"/>
      <c r="G51" s="54"/>
      <c r="H51" s="54"/>
      <c r="I51" s="54"/>
      <c r="J51" s="54"/>
      <c r="K51" s="54"/>
      <c r="L51" s="54"/>
      <c r="M51" s="54"/>
      <c r="N51" s="54"/>
      <c r="O51" s="54"/>
      <c r="P51" s="54"/>
      <c r="Q51" s="54"/>
      <c r="R51" s="54"/>
      <c r="S51" s="54"/>
      <c r="T51" s="54"/>
      <c r="U51" s="54"/>
      <c r="V51" s="54"/>
      <c r="W51" s="54"/>
      <c r="X51" s="54"/>
      <c r="Y51" s="54"/>
    </row>
    <row r="52" spans="1:25"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row>
    <row r="53" spans="1:25" x14ac:dyDescent="0.25">
      <c r="A53" s="54"/>
      <c r="B53" s="54"/>
      <c r="C53" s="54"/>
      <c r="D53" s="54"/>
      <c r="E53" s="54"/>
      <c r="F53" s="54"/>
      <c r="G53" s="54"/>
      <c r="H53" s="54"/>
      <c r="I53" s="54"/>
      <c r="J53" s="54"/>
      <c r="K53" s="54"/>
      <c r="L53" s="54"/>
      <c r="M53" s="54"/>
      <c r="N53" s="54"/>
      <c r="O53" s="54"/>
      <c r="P53" s="54"/>
      <c r="Q53" s="54"/>
      <c r="R53" s="54"/>
      <c r="S53" s="54"/>
      <c r="T53" s="54"/>
      <c r="U53" s="54"/>
      <c r="V53" s="54"/>
      <c r="W53" s="54"/>
      <c r="X53" s="54"/>
      <c r="Y53" s="54"/>
    </row>
    <row r="54" spans="1:25"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row>
    <row r="55" spans="1:25"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row>
    <row r="56" spans="1:25"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row>
    <row r="57" spans="1:25"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row>
    <row r="58" spans="1:25"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row>
  </sheetData>
  <protectedRanges>
    <protectedRange sqref="O15:S18" name="Vastaajan_tiedot_syottolomake"/>
  </protectedRanges>
  <mergeCells count="7">
    <mergeCell ref="O17:S17"/>
    <mergeCell ref="O18:S18"/>
    <mergeCell ref="C12:F12"/>
    <mergeCell ref="H12:K12"/>
    <mergeCell ref="M12:S12"/>
    <mergeCell ref="O15:S15"/>
    <mergeCell ref="O16:S16"/>
  </mergeCells>
  <conditionalFormatting sqref="C12:F12">
    <cfRule type="containsText" dxfId="35" priority="5" operator="containsText" text="Valitse">
      <formula>NOT(ISERROR(SEARCH("Valitse",C12)))</formula>
    </cfRule>
  </conditionalFormatting>
  <conditionalFormatting sqref="H12:K12">
    <cfRule type="containsText" dxfId="34" priority="3" operator="containsText" text="Valitse">
      <formula>NOT(ISERROR(SEARCH("Valitse",H12)))</formula>
    </cfRule>
  </conditionalFormatting>
  <conditionalFormatting sqref="M12">
    <cfRule type="beginsWith" dxfId="33" priority="2" operator="beginsWith" text="3">
      <formula>LEFT(M12,LEN("3"))="3"</formula>
    </cfRule>
  </conditionalFormatting>
  <conditionalFormatting sqref="M12:S12">
    <cfRule type="containsText" dxfId="32" priority="1" operator="containsText" text="puuttuu">
      <formula>NOT(ISERROR(SEARCH("puuttuu",M12)))</formula>
    </cfRule>
  </conditionalFormatting>
  <hyperlinks>
    <hyperlink ref="B23" location="Ohje!A1" display="   Pidempi ohje löytyy &quot;Ohje&quot;-välilehdeltä." xr:uid="{6D004A7F-95AE-4C84-96A1-207CF568685C}"/>
  </hyperlink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Luokka 1">
                <anchor>
                  <from>
                    <xdr:col>2</xdr:col>
                    <xdr:colOff>38100</xdr:colOff>
                    <xdr:row>13</xdr:row>
                    <xdr:rowOff>219075</xdr:rowOff>
                  </from>
                  <to>
                    <xdr:col>3</xdr:col>
                    <xdr:colOff>38100</xdr:colOff>
                    <xdr:row>15</xdr:row>
                    <xdr:rowOff>0</xdr:rowOff>
                  </to>
                </anchor>
              </controlPr>
            </control>
          </mc:Choice>
        </mc:AlternateContent>
        <mc:AlternateContent xmlns:mc="http://schemas.openxmlformats.org/markup-compatibility/2006">
          <mc:Choice Requires="x14">
            <control shapeId="1026" r:id="rId5" name="Option Button 2">
              <controlPr locked="0" defaultSize="0" autoFill="0" autoLine="0" autoPict="0" altText="Luokka 2">
                <anchor>
                  <from>
                    <xdr:col>2</xdr:col>
                    <xdr:colOff>38100</xdr:colOff>
                    <xdr:row>14</xdr:row>
                    <xdr:rowOff>257175</xdr:rowOff>
                  </from>
                  <to>
                    <xdr:col>3</xdr:col>
                    <xdr:colOff>28575</xdr:colOff>
                    <xdr:row>16</xdr:row>
                    <xdr:rowOff>0</xdr:rowOff>
                  </to>
                </anchor>
              </controlPr>
            </control>
          </mc:Choice>
        </mc:AlternateContent>
        <mc:AlternateContent xmlns:mc="http://schemas.openxmlformats.org/markup-compatibility/2006">
          <mc:Choice Requires="x14">
            <control shapeId="1027" r:id="rId6" name="Option Button 3">
              <controlPr locked="0" defaultSize="0" autoFill="0" autoLine="0" autoPict="0" altText="Luokka 3">
                <anchor>
                  <from>
                    <xdr:col>2</xdr:col>
                    <xdr:colOff>38100</xdr:colOff>
                    <xdr:row>15</xdr:row>
                    <xdr:rowOff>219075</xdr:rowOff>
                  </from>
                  <to>
                    <xdr:col>3</xdr:col>
                    <xdr:colOff>76200</xdr:colOff>
                    <xdr:row>17</xdr:row>
                    <xdr:rowOff>47625</xdr:rowOff>
                  </to>
                </anchor>
              </controlPr>
            </control>
          </mc:Choice>
        </mc:AlternateContent>
        <mc:AlternateContent xmlns:mc="http://schemas.openxmlformats.org/markup-compatibility/2006">
          <mc:Choice Requires="x14">
            <control shapeId="1028" r:id="rId7" name="Option Button 4">
              <controlPr locked="0" defaultSize="0" autoFill="0" autoLine="0" autoPict="0" altText="Luokka 4">
                <anchor>
                  <from>
                    <xdr:col>2</xdr:col>
                    <xdr:colOff>38100</xdr:colOff>
                    <xdr:row>16</xdr:row>
                    <xdr:rowOff>238125</xdr:rowOff>
                  </from>
                  <to>
                    <xdr:col>3</xdr:col>
                    <xdr:colOff>28575</xdr:colOff>
                    <xdr:row>18</xdr:row>
                    <xdr:rowOff>0</xdr:rowOff>
                  </to>
                </anchor>
              </controlPr>
            </control>
          </mc:Choice>
        </mc:AlternateContent>
        <mc:AlternateContent xmlns:mc="http://schemas.openxmlformats.org/markup-compatibility/2006">
          <mc:Choice Requires="x14">
            <control shapeId="1032" r:id="rId8" name="Check Box 8">
              <controlPr locked="0" defaultSize="0" autoFill="0" autoLine="0" autoPict="0">
                <anchor>
                  <from>
                    <xdr:col>7</xdr:col>
                    <xdr:colOff>28575</xdr:colOff>
                    <xdr:row>13</xdr:row>
                    <xdr:rowOff>190500</xdr:rowOff>
                  </from>
                  <to>
                    <xdr:col>7</xdr:col>
                    <xdr:colOff>276225</xdr:colOff>
                    <xdr:row>15</xdr:row>
                    <xdr:rowOff>66675</xdr:rowOff>
                  </to>
                </anchor>
              </controlPr>
            </control>
          </mc:Choice>
        </mc:AlternateContent>
        <mc:AlternateContent xmlns:mc="http://schemas.openxmlformats.org/markup-compatibility/2006">
          <mc:Choice Requires="x14">
            <control shapeId="1035" r:id="rId9" name="Check Box 11">
              <controlPr locked="0" defaultSize="0" autoFill="0" autoLine="0" autoPict="0">
                <anchor>
                  <from>
                    <xdr:col>7</xdr:col>
                    <xdr:colOff>28575</xdr:colOff>
                    <xdr:row>14</xdr:row>
                    <xdr:rowOff>200025</xdr:rowOff>
                  </from>
                  <to>
                    <xdr:col>8</xdr:col>
                    <xdr:colOff>0</xdr:colOff>
                    <xdr:row>16</xdr:row>
                    <xdr:rowOff>47625</xdr:rowOff>
                  </to>
                </anchor>
              </controlPr>
            </control>
          </mc:Choice>
        </mc:AlternateContent>
        <mc:AlternateContent xmlns:mc="http://schemas.openxmlformats.org/markup-compatibility/2006">
          <mc:Choice Requires="x14">
            <control shapeId="1036" r:id="rId10" name="Check Box 12">
              <controlPr locked="0" defaultSize="0" autoFill="0" autoLine="0" autoPict="0">
                <anchor>
                  <from>
                    <xdr:col>7</xdr:col>
                    <xdr:colOff>28575</xdr:colOff>
                    <xdr:row>15</xdr:row>
                    <xdr:rowOff>161925</xdr:rowOff>
                  </from>
                  <to>
                    <xdr:col>7</xdr:col>
                    <xdr:colOff>276225</xdr:colOff>
                    <xdr:row>17</xdr:row>
                    <xdr:rowOff>85725</xdr:rowOff>
                  </to>
                </anchor>
              </controlPr>
            </control>
          </mc:Choice>
        </mc:AlternateContent>
        <mc:AlternateContent xmlns:mc="http://schemas.openxmlformats.org/markup-compatibility/2006">
          <mc:Choice Requires="x14">
            <control shapeId="1037" r:id="rId11" name="Check Box 13">
              <controlPr locked="0" defaultSize="0" autoFill="0" autoLine="0" autoPict="0">
                <anchor>
                  <from>
                    <xdr:col>7</xdr:col>
                    <xdr:colOff>28575</xdr:colOff>
                    <xdr:row>16</xdr:row>
                    <xdr:rowOff>180975</xdr:rowOff>
                  </from>
                  <to>
                    <xdr:col>8</xdr:col>
                    <xdr:colOff>9525</xdr:colOff>
                    <xdr:row>18</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E2D9-FA7B-43F3-85C8-2BD9807CF5DE}">
  <sheetPr>
    <tabColor rgb="FFFF0000"/>
  </sheetPr>
  <dimension ref="A1:L148"/>
  <sheetViews>
    <sheetView showGridLines="0" workbookViewId="0">
      <pane ySplit="6" topLeftCell="A7" activePane="bottomLeft" state="frozen"/>
      <selection activeCell="D1" sqref="D1"/>
      <selection pane="bottomLeft"/>
    </sheetView>
  </sheetViews>
  <sheetFormatPr defaultColWidth="8.85546875" defaultRowHeight="15" x14ac:dyDescent="0.25"/>
  <cols>
    <col min="1" max="2" width="7.85546875" style="1" customWidth="1"/>
    <col min="3" max="3" width="8.85546875" style="1" customWidth="1"/>
    <col min="4" max="4" width="5.5703125" style="1" customWidth="1"/>
    <col min="5" max="5" width="25.140625" style="1" customWidth="1"/>
    <col min="6" max="6" width="19.5703125" style="1" customWidth="1"/>
    <col min="7" max="7" width="126.42578125" style="8" customWidth="1"/>
    <col min="8" max="8" width="10.140625" style="1" bestFit="1" customWidth="1"/>
    <col min="9" max="9" width="9.85546875" style="1" customWidth="1"/>
    <col min="10" max="11" width="8.85546875" style="1"/>
    <col min="12" max="12" width="3.42578125" style="1" customWidth="1"/>
    <col min="13" max="16384" width="8.85546875" style="1"/>
  </cols>
  <sheetData>
    <row r="1" spans="1:12" ht="24" x14ac:dyDescent="0.25">
      <c r="A1" s="78"/>
      <c r="B1" s="78"/>
      <c r="C1" s="78"/>
      <c r="D1" s="79" t="s">
        <v>192</v>
      </c>
      <c r="E1" s="78"/>
      <c r="F1" s="78"/>
      <c r="G1" s="80"/>
      <c r="H1" s="78"/>
      <c r="I1" s="136"/>
      <c r="J1" s="136"/>
      <c r="K1" s="136"/>
      <c r="L1" s="136"/>
    </row>
    <row r="2" spans="1:12" x14ac:dyDescent="0.25">
      <c r="A2" s="78"/>
      <c r="B2" s="78"/>
      <c r="C2" s="78"/>
      <c r="D2" s="78" t="s">
        <v>258</v>
      </c>
      <c r="E2" s="78"/>
      <c r="F2" s="78"/>
      <c r="G2" s="80"/>
      <c r="H2" s="78"/>
      <c r="I2" s="136"/>
      <c r="J2" s="136"/>
      <c r="K2" s="136"/>
      <c r="L2" s="136"/>
    </row>
    <row r="3" spans="1:12" x14ac:dyDescent="0.25">
      <c r="A3" s="78"/>
      <c r="B3" s="78"/>
      <c r="C3" s="78"/>
      <c r="D3" s="81" t="s">
        <v>267</v>
      </c>
      <c r="E3" s="78"/>
      <c r="F3" s="78"/>
      <c r="G3" s="80"/>
      <c r="H3" s="78"/>
      <c r="I3" s="136"/>
      <c r="J3" s="136"/>
      <c r="K3" s="136"/>
      <c r="L3" s="136"/>
    </row>
    <row r="4" spans="1:12" x14ac:dyDescent="0.25">
      <c r="A4" s="78"/>
      <c r="B4" s="78"/>
      <c r="C4" s="78"/>
      <c r="D4" s="138" t="s">
        <v>244</v>
      </c>
      <c r="E4" s="78"/>
      <c r="F4" s="78"/>
      <c r="G4" s="80"/>
      <c r="H4" s="78"/>
      <c r="I4" s="136"/>
      <c r="J4" s="136"/>
      <c r="K4" s="136"/>
      <c r="L4" s="136"/>
    </row>
    <row r="5" spans="1:12" x14ac:dyDescent="0.25">
      <c r="A5" s="181" t="s">
        <v>273</v>
      </c>
      <c r="B5" s="181"/>
      <c r="C5" s="181"/>
      <c r="D5" s="78"/>
      <c r="E5" s="78"/>
      <c r="F5" s="78"/>
      <c r="G5" s="80"/>
      <c r="H5" s="78"/>
      <c r="I5" s="136"/>
      <c r="J5" s="136"/>
      <c r="K5" s="136"/>
      <c r="L5" s="136"/>
    </row>
    <row r="6" spans="1:12" x14ac:dyDescent="0.25">
      <c r="A6" s="76" t="s">
        <v>240</v>
      </c>
      <c r="B6" s="76" t="s">
        <v>237</v>
      </c>
      <c r="C6" s="76" t="s">
        <v>243</v>
      </c>
      <c r="D6" s="76" t="s">
        <v>242</v>
      </c>
      <c r="E6" s="76" t="s">
        <v>1</v>
      </c>
      <c r="F6" s="76" t="s">
        <v>229</v>
      </c>
      <c r="G6" s="77" t="s">
        <v>230</v>
      </c>
      <c r="H6" s="76" t="s">
        <v>231</v>
      </c>
      <c r="I6" s="136"/>
      <c r="J6" s="136"/>
      <c r="K6" s="136"/>
      <c r="L6" s="136"/>
    </row>
    <row r="7" spans="1:12" x14ac:dyDescent="0.25">
      <c r="A7" s="1" t="str">
        <f>Turvallinen_ja_toimintavarma!I5</f>
        <v>Ei kuulu</v>
      </c>
      <c r="B7" s="1" t="str">
        <f>Turvallinen_ja_toimintavarma!P5</f>
        <v/>
      </c>
      <c r="C7" s="1" t="str">
        <f>IF(AND(A7="Kuuluu",H7="Ei",B7&lt;&gt;"Extra"),"Kyllä","Ei")</f>
        <v>Ei</v>
      </c>
      <c r="D7" s="1" t="str">
        <f>IF(Turvallinen_ja_toimintavarma!N5="x","Kyllä","Ei")</f>
        <v>Ei</v>
      </c>
      <c r="E7" s="1" t="str">
        <f>IF(ISBLANK(Turvallinen_ja_toimintavarma!K5),"_Otsikkorivi",Turvallinen_ja_toimintavarma!K5)</f>
        <v>Turvallinen ja toimintavarma</v>
      </c>
      <c r="F7" s="1" t="str">
        <f>Turvallinen_ja_toimintavarma!L5</f>
        <v>_Otsikkorivi</v>
      </c>
      <c r="G7" s="8" t="str">
        <f>IF(ISBLANK(Turvallinen_ja_toimintavarma!R5),"Otsikkorivi",Turvallinen_ja_toimintavarma!R5)</f>
        <v>1. Laadukas, raakaveden laadun huomioiva, kriteerit täyttävä vedenkäsittelyprosessi</v>
      </c>
      <c r="H7" s="1" t="str">
        <f>IF(ISBLANK(Turvallinen_ja_toimintavarma!S5),"",Turvallinen_ja_toimintavarma!S5)</f>
        <v/>
      </c>
    </row>
    <row r="8" spans="1:12" ht="30" x14ac:dyDescent="0.25">
      <c r="A8" s="1" t="str">
        <f>Turvallinen_ja_toimintavarma!I6</f>
        <v>Ei kuulu</v>
      </c>
      <c r="B8" s="1" t="str">
        <f>Turvallinen_ja_toimintavarma!P6</f>
        <v/>
      </c>
      <c r="C8" s="1" t="str">
        <f t="shared" ref="C8:C69" si="0">IF(AND(A8="Kuuluu",H8="Ei",B8&lt;&gt;"Extra"),"Kyllä","Ei")</f>
        <v>Ei</v>
      </c>
      <c r="D8" s="1" t="str">
        <f>IF(Turvallinen_ja_toimintavarma!N6="x","Kyllä","Ei")</f>
        <v>Kyllä</v>
      </c>
      <c r="E8" s="1" t="str">
        <f>IF(ISBLANK(Turvallinen_ja_toimintavarma!K6),"_Otsikkorivi",Turvallinen_ja_toimintavarma!K6)</f>
        <v>Turvallinen ja toimintavarma</v>
      </c>
      <c r="F8" s="1" t="str">
        <f>Turvallinen_ja_toimintavarma!L6</f>
        <v>1. Laadukas, raakaveden laadun huomioiva, kriteerit täyttävä vedenkäsittelyprosessi</v>
      </c>
      <c r="G8" s="8" t="str">
        <f>IF(ISBLANK(Turvallinen_ja_toimintavarma!R6),"Otsikkorivi",Turvallinen_ja_toimintavarma!R6)</f>
        <v>1.1 Vesilaitoksella on valmius aloittaa tai järjestää klooridesinfiointi 6 h sisällä talousvesiasetuksen (1352/2015) 20 a pykälän edellyttämällä tavalla.</v>
      </c>
      <c r="H8" s="1" t="str">
        <f>IF(ISBLANK(Turvallinen_ja_toimintavarma!S6),"",Turvallinen_ja_toimintavarma!S6)</f>
        <v/>
      </c>
    </row>
    <row r="9" spans="1:12" x14ac:dyDescent="0.25">
      <c r="A9" s="1" t="str">
        <f>Turvallinen_ja_toimintavarma!I7</f>
        <v>Ei kuulu</v>
      </c>
      <c r="B9" s="1" t="str">
        <f>Turvallinen_ja_toimintavarma!P7</f>
        <v/>
      </c>
      <c r="C9" s="1" t="str">
        <f t="shared" si="0"/>
        <v>Ei</v>
      </c>
      <c r="D9" s="1" t="str">
        <f>IF(Turvallinen_ja_toimintavarma!N7="x","Kyllä","Ei")</f>
        <v>Kyllä</v>
      </c>
      <c r="E9" s="1" t="str">
        <f>IF(ISBLANK(Turvallinen_ja_toimintavarma!K7),"_Otsikkorivi",Turvallinen_ja_toimintavarma!K7)</f>
        <v>Turvallinen ja toimintavarma</v>
      </c>
      <c r="F9" s="1" t="str">
        <f>Turvallinen_ja_toimintavarma!L7</f>
        <v>1. Laadukas, raakaveden laadun huomioiva, kriteerit täyttävä vedenkäsittelyprosessi</v>
      </c>
      <c r="G9" s="8" t="str">
        <f>IF(ISBLANK(Turvallinen_ja_toimintavarma!R7),"Otsikkorivi",Turvallinen_ja_toimintavarma!R7)</f>
        <v>1.2 Klooridesinfiointia testataan säännöllisesti.</v>
      </c>
      <c r="H9" s="1" t="str">
        <f>IF(ISBLANK(Turvallinen_ja_toimintavarma!S7),"",Turvallinen_ja_toimintavarma!S7)</f>
        <v/>
      </c>
    </row>
    <row r="10" spans="1:12" x14ac:dyDescent="0.25">
      <c r="A10" s="1" t="str">
        <f>Turvallinen_ja_toimintavarma!I8</f>
        <v>Ei kuulu</v>
      </c>
      <c r="B10" s="1" t="str">
        <f>Turvallinen_ja_toimintavarma!P8</f>
        <v/>
      </c>
      <c r="C10" s="1" t="str">
        <f t="shared" si="0"/>
        <v>Ei</v>
      </c>
      <c r="D10" s="1" t="str">
        <f>IF(Turvallinen_ja_toimintavarma!N8="x","Kyllä","Ei")</f>
        <v>Kyllä</v>
      </c>
      <c r="E10" s="1" t="str">
        <f>IF(ISBLANK(Turvallinen_ja_toimintavarma!K8),"_Otsikkorivi",Turvallinen_ja_toimintavarma!K8)</f>
        <v>Turvallinen ja toimintavarma</v>
      </c>
      <c r="F10" s="1" t="str">
        <f>Turvallinen_ja_toimintavarma!L8</f>
        <v>1. Laadukas, raakaveden laadun huomioiva, kriteerit täyttävä vedenkäsittelyprosessi</v>
      </c>
      <c r="G10" s="8" t="str">
        <f>IF(ISBLANK(Turvallinen_ja_toimintavarma!R8),"Otsikkorivi",Turvallinen_ja_toimintavarma!R8)</f>
        <v>1.3 Laatuvaatimukset täyttävä vedenlaatu (100 % näytteistä)</v>
      </c>
      <c r="H10" s="1" t="str">
        <f>IF(ISBLANK(Turvallinen_ja_toimintavarma!S8),"",Turvallinen_ja_toimintavarma!S8)</f>
        <v/>
      </c>
    </row>
    <row r="11" spans="1:12" x14ac:dyDescent="0.25">
      <c r="A11" s="1" t="str">
        <f>Turvallinen_ja_toimintavarma!I9</f>
        <v>Ei kuulu</v>
      </c>
      <c r="B11" s="1" t="str">
        <f>Turvallinen_ja_toimintavarma!P9</f>
        <v/>
      </c>
      <c r="C11" s="1" t="str">
        <f t="shared" si="0"/>
        <v>Ei</v>
      </c>
      <c r="D11" s="1" t="str">
        <f>IF(Turvallinen_ja_toimintavarma!N9="x","Kyllä","Ei")</f>
        <v>Ei</v>
      </c>
      <c r="E11" s="1" t="str">
        <f>IF(ISBLANK(Turvallinen_ja_toimintavarma!K9),"_Otsikkorivi",Turvallinen_ja_toimintavarma!K9)</f>
        <v>Turvallinen ja toimintavarma</v>
      </c>
      <c r="F11" s="1" t="str">
        <f>Turvallinen_ja_toimintavarma!L9</f>
        <v>1. Laadukas, raakaveden laadun huomioiva, kriteerit täyttävä vedenkäsittelyprosessi</v>
      </c>
      <c r="G11" s="8" t="str">
        <f>IF(ISBLANK(Turvallinen_ja_toimintavarma!R9),"Otsikkorivi",Turvallinen_ja_toimintavarma!R9)</f>
        <v>1.4 Laatutavoitteet täyttävä vedenlaatu (100 % näytteistä)</v>
      </c>
      <c r="H11" s="1" t="str">
        <f>IF(ISBLANK(Turvallinen_ja_toimintavarma!S9),"",Turvallinen_ja_toimintavarma!S9)</f>
        <v/>
      </c>
    </row>
    <row r="12" spans="1:12" ht="30" x14ac:dyDescent="0.25">
      <c r="A12" s="1" t="str">
        <f>Turvallinen_ja_toimintavarma!I10</f>
        <v>Ei kuulu</v>
      </c>
      <c r="B12" s="1" t="str">
        <f>Turvallinen_ja_toimintavarma!P10</f>
        <v/>
      </c>
      <c r="C12" s="1" t="str">
        <f t="shared" si="0"/>
        <v>Ei</v>
      </c>
      <c r="D12" s="1" t="str">
        <f>IF(Turvallinen_ja_toimintavarma!N10="x","Kyllä","Ei")</f>
        <v>Ei</v>
      </c>
      <c r="E12" s="1" t="str">
        <f>IF(ISBLANK(Turvallinen_ja_toimintavarma!K10),"_Otsikkorivi",Turvallinen_ja_toimintavarma!K10)</f>
        <v>Turvallinen ja toimintavarma</v>
      </c>
      <c r="F12" s="1" t="str">
        <f>Turvallinen_ja_toimintavarma!L10</f>
        <v>1. Laadukas, raakaveden laadun huomioiva, kriteerit täyttävä vedenkäsittelyprosessi</v>
      </c>
      <c r="G12" s="8" t="str">
        <f>IF(ISBLANK(Turvallinen_ja_toimintavarma!R10),"Otsikkorivi",Turvallinen_ja_toimintavarma!R10)</f>
        <v>1.5 Vesijohtoverkoston paineettomissa putkirikkokorjauksissa rikkoutunut putkilinjaosuus desinfioidaan tai varmistetaan verkoston mikrobiologinen puhtaus tutkimuksin ennen käyttöönottoa.</v>
      </c>
      <c r="H12" s="1" t="str">
        <f>IF(ISBLANK(Turvallinen_ja_toimintavarma!S10),"",Turvallinen_ja_toimintavarma!S10)</f>
        <v/>
      </c>
    </row>
    <row r="13" spans="1:12" ht="30" x14ac:dyDescent="0.25">
      <c r="A13" s="1" t="str">
        <f>Turvallinen_ja_toimintavarma!I11</f>
        <v>Ei kuulu</v>
      </c>
      <c r="B13" s="1" t="str">
        <f>Turvallinen_ja_toimintavarma!P11</f>
        <v/>
      </c>
      <c r="C13" s="1" t="str">
        <f t="shared" si="0"/>
        <v>Ei</v>
      </c>
      <c r="D13" s="1" t="str">
        <f>IF(Turvallinen_ja_toimintavarma!N11="x","Kyllä","Ei")</f>
        <v>Ei</v>
      </c>
      <c r="E13" s="1" t="str">
        <f>IF(ISBLANK(Turvallinen_ja_toimintavarma!K11),"_Otsikkorivi",Turvallinen_ja_toimintavarma!K11)</f>
        <v>Turvallinen ja toimintavarma</v>
      </c>
      <c r="F13" s="1" t="str">
        <f>Turvallinen_ja_toimintavarma!L11</f>
        <v>1. Laadukas, raakaveden laadun huomioiva, kriteerit täyttävä vedenkäsittelyprosessi</v>
      </c>
      <c r="G13" s="8" t="str">
        <f>IF(ISBLANK(Turvallinen_ja_toimintavarma!R11),"Otsikkorivi",Turvallinen_ja_toimintavarma!R11)</f>
        <v>1.6 Vedenjakeluverkoston näytteenottopisteiden edustavuus valvontatutkimusohjelmassa on säännöllisesti varmistettu alueelliset erityispiirteet ja WSP:n tulokset huomioon ottaen.</v>
      </c>
      <c r="H13" s="1" t="str">
        <f>IF(ISBLANK(Turvallinen_ja_toimintavarma!S11),"",Turvallinen_ja_toimintavarma!S11)</f>
        <v/>
      </c>
    </row>
    <row r="14" spans="1:12" ht="30" x14ac:dyDescent="0.25">
      <c r="A14" s="1" t="str">
        <f>Turvallinen_ja_toimintavarma!I12</f>
        <v>Ei kuulu</v>
      </c>
      <c r="B14" s="1" t="str">
        <f>Turvallinen_ja_toimintavarma!P12</f>
        <v/>
      </c>
      <c r="C14" s="1" t="str">
        <f t="shared" si="0"/>
        <v>Ei</v>
      </c>
      <c r="D14" s="1" t="str">
        <f>IF(Turvallinen_ja_toimintavarma!N12="x","Kyllä","Ei")</f>
        <v>Ei</v>
      </c>
      <c r="E14" s="1" t="str">
        <f>IF(ISBLANK(Turvallinen_ja_toimintavarma!K12),"_Otsikkorivi",Turvallinen_ja_toimintavarma!K12)</f>
        <v>Turvallinen ja toimintavarma</v>
      </c>
      <c r="F14" s="1" t="str">
        <f>Turvallinen_ja_toimintavarma!L12</f>
        <v>1. Laadukas, raakaveden laadun huomioiva, kriteerit täyttävä vedenkäsittelyprosessi</v>
      </c>
      <c r="G14" s="8" t="str">
        <f>IF(ISBLANK(Turvallinen_ja_toimintavarma!R12),"Otsikkorivi",Turvallinen_ja_toimintavarma!R12)</f>
        <v>1.7 Talousvesi desinfioidaan jatkuvatoimisesti ennen johtamista vedenjakeluverkostoon tai vesihuoltolaitos on tehnyt riskiarvion, jonka perusteella jatkuvatoimiselle talousveden desinfioinnille ei ole tarvetta</v>
      </c>
      <c r="H14" s="1" t="str">
        <f>IF(ISBLANK(Turvallinen_ja_toimintavarma!S12),"",Turvallinen_ja_toimintavarma!S12)</f>
        <v/>
      </c>
    </row>
    <row r="15" spans="1:12" ht="60" x14ac:dyDescent="0.25">
      <c r="A15" s="1" t="str">
        <f>Turvallinen_ja_toimintavarma!I13</f>
        <v>Ei kuulu</v>
      </c>
      <c r="B15" s="1" t="str">
        <f>Turvallinen_ja_toimintavarma!P13</f>
        <v/>
      </c>
      <c r="C15" s="1" t="str">
        <f t="shared" si="0"/>
        <v>Ei</v>
      </c>
      <c r="D15" s="1" t="str">
        <f>IF(Turvallinen_ja_toimintavarma!N13="x","Kyllä","Ei")</f>
        <v>Ei</v>
      </c>
      <c r="E15" s="1" t="str">
        <f>IF(ISBLANK(Turvallinen_ja_toimintavarma!K13),"_Otsikkorivi",Turvallinen_ja_toimintavarma!K13)</f>
        <v>Turvallinen ja toimintavarma</v>
      </c>
      <c r="F15" s="1" t="str">
        <f>Turvallinen_ja_toimintavarma!L13</f>
        <v>1. Laadukas, raakaveden laadun huomioiva, kriteerit täyttävä vedenkäsittelyprosessi</v>
      </c>
      <c r="G15" s="8" t="str">
        <f>IF(ISBLANK(Turvallinen_ja_toimintavarma!R13),"Otsikkorivi",Turvallinen_ja_toimintavarma!R13)</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5" s="1" t="str">
        <f>IF(ISBLANK(Turvallinen_ja_toimintavarma!S13),"",Turvallinen_ja_toimintavarma!S13)</f>
        <v/>
      </c>
    </row>
    <row r="16" spans="1:12" ht="30" x14ac:dyDescent="0.25">
      <c r="A16" s="1" t="str">
        <f>Turvallinen_ja_toimintavarma!I14</f>
        <v>Ei kuulu</v>
      </c>
      <c r="B16" s="1" t="str">
        <f>Turvallinen_ja_toimintavarma!P14</f>
        <v/>
      </c>
      <c r="C16" s="1" t="str">
        <f t="shared" si="0"/>
        <v>Ei</v>
      </c>
      <c r="D16" s="1" t="str">
        <f>IF(Turvallinen_ja_toimintavarma!N14="x","Kyllä","Ei")</f>
        <v>Kyllä</v>
      </c>
      <c r="E16" s="1" t="str">
        <f>IF(ISBLANK(Turvallinen_ja_toimintavarma!K14),"_Otsikkorivi",Turvallinen_ja_toimintavarma!K14)</f>
        <v>Turvallinen ja toimintavarma</v>
      </c>
      <c r="F16" s="1" t="str">
        <f>Turvallinen_ja_toimintavarma!L14</f>
        <v>1. Laadukas, raakaveden laadun huomioiva, kriteerit täyttävä vedenkäsittelyprosessi</v>
      </c>
      <c r="G16" s="8" t="str">
        <f>IF(ISBLANK(Turvallinen_ja_toimintavarma!R14),"Otsikkorivi",Turvallinen_ja_toimintavarma!R14)</f>
        <v>1.9 Talousveden käsittelyprosessin kriittisten toimintojen toimivuutta on varmistettu kahdentamalla (esim. laitteet, vaihtoehtoinen käsittelyprosessi/kemikaali/toimittaja)</v>
      </c>
      <c r="H16" s="1" t="str">
        <f>IF(ISBLANK(Turvallinen_ja_toimintavarma!S14),"",Turvallinen_ja_toimintavarma!S14)</f>
        <v/>
      </c>
    </row>
    <row r="17" spans="1:8" ht="30" x14ac:dyDescent="0.25">
      <c r="A17" s="1" t="str">
        <f>Turvallinen_ja_toimintavarma!I15</f>
        <v>Ei kuulu</v>
      </c>
      <c r="B17" s="1" t="str">
        <f>Turvallinen_ja_toimintavarma!P15</f>
        <v/>
      </c>
      <c r="C17" s="1" t="str">
        <f t="shared" si="0"/>
        <v>Ei</v>
      </c>
      <c r="D17" s="1" t="str">
        <f>IF(Turvallinen_ja_toimintavarma!N15="x","Kyllä","Ei")</f>
        <v>Ei</v>
      </c>
      <c r="E17" s="1" t="str">
        <f>IF(ISBLANK(Turvallinen_ja_toimintavarma!K15),"_Otsikkorivi",Turvallinen_ja_toimintavarma!K15)</f>
        <v>Turvallinen ja toimintavarma</v>
      </c>
      <c r="F17" s="1" t="str">
        <f>Turvallinen_ja_toimintavarma!L15</f>
        <v>1. Laadukas, raakaveden laadun huomioiva, kriteerit täyttävä vedenkäsittelyprosessi</v>
      </c>
      <c r="G17" s="8" t="str">
        <f>IF(ISBLANK(Turvallinen_ja_toimintavarma!R15),"Otsikkorivi",Turvallinen_ja_toimintavarma!R15)</f>
        <v>1.10. Vesilaitoksella on käytössä omassa tai ulkopuolisen hallinnassa oleva verkostomalli vedenjakelun varmistamiseen ja kehittämiseen.</v>
      </c>
      <c r="H17" s="1" t="str">
        <f>IF(ISBLANK(Turvallinen_ja_toimintavarma!S15),"",Turvallinen_ja_toimintavarma!S15)</f>
        <v/>
      </c>
    </row>
    <row r="18" spans="1:8" ht="30" x14ac:dyDescent="0.25">
      <c r="A18" s="1" t="str">
        <f>Turvallinen_ja_toimintavarma!I16</f>
        <v>Ei kuulu</v>
      </c>
      <c r="B18" s="1" t="str">
        <f>Turvallinen_ja_toimintavarma!P16</f>
        <v/>
      </c>
      <c r="C18" s="1" t="str">
        <f t="shared" si="0"/>
        <v>Ei</v>
      </c>
      <c r="D18" s="1" t="str">
        <f>IF(Turvallinen_ja_toimintavarma!N16="x","Kyllä","Ei")</f>
        <v>Ei</v>
      </c>
      <c r="E18" s="1" t="str">
        <f>IF(ISBLANK(Turvallinen_ja_toimintavarma!K16),"_Otsikkorivi",Turvallinen_ja_toimintavarma!K16)</f>
        <v>Turvallinen ja toimintavarma</v>
      </c>
      <c r="F18" s="1" t="str">
        <f>Turvallinen_ja_toimintavarma!L16</f>
        <v>1. Laadukas, raakaveden laadun huomioiva, kriteerit täyttävä vedenkäsittelyprosessi</v>
      </c>
      <c r="G18" s="8" t="str">
        <f>IF(ISBLANK(Turvallinen_ja_toimintavarma!R16),"Otsikkorivi",Turvallinen_ja_toimintavarma!R16)</f>
        <v xml:space="preserve">1.11 Talousveden käsittelyprosessin poistoteho on kemiallisen saastumisen tilanteessa arvioitu ja prosessia voidaan tarvittaessa tehostaa. (esim. aktiivihiilen syöttö) </v>
      </c>
      <c r="H18" s="1" t="str">
        <f>IF(ISBLANK(Turvallinen_ja_toimintavarma!S16),"",Turvallinen_ja_toimintavarma!S16)</f>
        <v/>
      </c>
    </row>
    <row r="19" spans="1:8" x14ac:dyDescent="0.25">
      <c r="A19" s="1" t="str">
        <f>Turvallinen_ja_toimintavarma!I17</f>
        <v>Ei kuulu</v>
      </c>
      <c r="B19" s="1" t="str">
        <f>Turvallinen_ja_toimintavarma!P17</f>
        <v/>
      </c>
      <c r="C19" s="1" t="str">
        <f t="shared" si="0"/>
        <v>Ei</v>
      </c>
      <c r="D19" s="1" t="str">
        <f>IF(Turvallinen_ja_toimintavarma!N17="x","Kyllä","Ei")</f>
        <v>Ei</v>
      </c>
      <c r="E19" s="1" t="str">
        <f>IF(ISBLANK(Turvallinen_ja_toimintavarma!K17),"_Otsikkorivi",Turvallinen_ja_toimintavarma!K17)</f>
        <v>Turvallinen ja toimintavarma</v>
      </c>
      <c r="F19" s="1" t="str">
        <f>Turvallinen_ja_toimintavarma!L17</f>
        <v>_Otsikkorivi</v>
      </c>
      <c r="G19" s="8" t="str">
        <f>IF(ISBLANK(Turvallinen_ja_toimintavarma!R17),"Otsikkorivi",Turvallinen_ja_toimintavarma!R17)</f>
        <v>2. Ajantasainen varautumis- ja valmiussuunnittelu ja yhteistyö muiden toimijoiden kanssa</v>
      </c>
      <c r="H19" s="1" t="str">
        <f>IF(ISBLANK(Turvallinen_ja_toimintavarma!S17),"",Turvallinen_ja_toimintavarma!S17)</f>
        <v/>
      </c>
    </row>
    <row r="20" spans="1:8" x14ac:dyDescent="0.25">
      <c r="A20" s="1" t="str">
        <f>Turvallinen_ja_toimintavarma!I18</f>
        <v>Ei kuulu</v>
      </c>
      <c r="B20" s="1" t="str">
        <f>Turvallinen_ja_toimintavarma!P18</f>
        <v/>
      </c>
      <c r="C20" s="1" t="str">
        <f t="shared" si="0"/>
        <v>Ei</v>
      </c>
      <c r="D20" s="1" t="str">
        <f>IF(Turvallinen_ja_toimintavarma!N18="x","Kyllä","Ei")</f>
        <v>Kyllä</v>
      </c>
      <c r="E20" s="1" t="str">
        <f>IF(ISBLANK(Turvallinen_ja_toimintavarma!K18),"_Otsikkorivi",Turvallinen_ja_toimintavarma!K18)</f>
        <v>Turvallinen ja toimintavarma</v>
      </c>
      <c r="F20" s="1" t="str">
        <f>Turvallinen_ja_toimintavarma!L18</f>
        <v>2. Ajantasainen varautumis- ja valmiussuunnittelu ja yhteistyö muiden toimijoiden kanssa</v>
      </c>
      <c r="G20" s="8" t="str">
        <f>IF(ISBLANK(Turvallinen_ja_toimintavarma!R18),"Otsikkorivi",Turvallinen_ja_toimintavarma!R18)</f>
        <v>2.1 Vesihuoltolaitoksella on vähintään vuosittain arvioitava ja tarvittaessa päivitettävä varautumissuunnitelma</v>
      </c>
      <c r="H20" s="1" t="str">
        <f>IF(ISBLANK(Turvallinen_ja_toimintavarma!S18),"",Turvallinen_ja_toimintavarma!S18)</f>
        <v/>
      </c>
    </row>
    <row r="21" spans="1:8" ht="30" x14ac:dyDescent="0.25">
      <c r="A21" s="1" t="str">
        <f>Turvallinen_ja_toimintavarma!I19</f>
        <v>Ei kuulu</v>
      </c>
      <c r="B21" s="1" t="str">
        <f>Turvallinen_ja_toimintavarma!P19</f>
        <v/>
      </c>
      <c r="C21" s="1" t="str">
        <f t="shared" si="0"/>
        <v>Ei</v>
      </c>
      <c r="D21" s="1" t="str">
        <f>IF(Turvallinen_ja_toimintavarma!N19="x","Kyllä","Ei")</f>
        <v>Kyllä</v>
      </c>
      <c r="E21" s="1" t="str">
        <f>IF(ISBLANK(Turvallinen_ja_toimintavarma!K19),"_Otsikkorivi",Turvallinen_ja_toimintavarma!K19)</f>
        <v>Turvallinen ja toimintavarma</v>
      </c>
      <c r="F21" s="1" t="str">
        <f>Turvallinen_ja_toimintavarma!L19</f>
        <v>2. Ajantasainen varautumis- ja valmiussuunnittelu ja yhteistyö muiden toimijoiden kanssa</v>
      </c>
      <c r="G21" s="8" t="str">
        <f>IF(ISBLANK(Turvallinen_ja_toimintavarma!R19),"Otsikkorivi",Turvallinen_ja_toimintavarma!R19)</f>
        <v>2.2 Talousveden laaturiskejä arvioidaan ja riskienhallintaa kehitetään ja sen toimivuutta seurataan systemaattisesti esim. WSP-työkalun avulla</v>
      </c>
      <c r="H21" s="1" t="str">
        <f>IF(ISBLANK(Turvallinen_ja_toimintavarma!S19),"",Turvallinen_ja_toimintavarma!S19)</f>
        <v/>
      </c>
    </row>
    <row r="22" spans="1:8" ht="30" x14ac:dyDescent="0.25">
      <c r="A22" s="1" t="str">
        <f>Turvallinen_ja_toimintavarma!I20</f>
        <v>Ei kuulu</v>
      </c>
      <c r="B22" s="1" t="str">
        <f>Turvallinen_ja_toimintavarma!P20</f>
        <v/>
      </c>
      <c r="C22" s="1" t="str">
        <f t="shared" si="0"/>
        <v>Ei</v>
      </c>
      <c r="D22" s="1" t="str">
        <f>IF(Turvallinen_ja_toimintavarma!N20="x","Kyllä","Ei")</f>
        <v>Kyllä</v>
      </c>
      <c r="E22" s="1" t="str">
        <f>IF(ISBLANK(Turvallinen_ja_toimintavarma!K20),"_Otsikkorivi",Turvallinen_ja_toimintavarma!K20)</f>
        <v>Turvallinen ja toimintavarma</v>
      </c>
      <c r="F22" s="1" t="str">
        <f>Turvallinen_ja_toimintavarma!L20</f>
        <v>2. Ajantasainen varautumis- ja valmiussuunnittelu ja yhteistyö muiden toimijoiden kanssa</v>
      </c>
      <c r="G22" s="8" t="str">
        <f>IF(ISBLANK(Turvallinen_ja_toimintavarma!R20),"Otsikkorivi",Turvallinen_ja_toimintavarma!R20)</f>
        <v>2.3 Viemäröinnin ja jätevedenpuhdistuksen ympäristö- ja terveysriskejä arvioidaan ja riskienhallintaa kehitetään systemaattisesti esim. SSP-työkalun avulla</v>
      </c>
      <c r="H22" s="1" t="str">
        <f>IF(ISBLANK(Turvallinen_ja_toimintavarma!S20),"",Turvallinen_ja_toimintavarma!S20)</f>
        <v/>
      </c>
    </row>
    <row r="23" spans="1:8" ht="30" x14ac:dyDescent="0.25">
      <c r="A23" s="1" t="str">
        <f>Turvallinen_ja_toimintavarma!I21</f>
        <v>Ei kuulu</v>
      </c>
      <c r="B23" s="1" t="str">
        <f>Turvallinen_ja_toimintavarma!P21</f>
        <v/>
      </c>
      <c r="C23" s="1" t="str">
        <f t="shared" si="0"/>
        <v>Ei</v>
      </c>
      <c r="D23" s="1" t="str">
        <f>IF(Turvallinen_ja_toimintavarma!N21="x","Kyllä","Ei")</f>
        <v>Kyllä</v>
      </c>
      <c r="E23" s="1" t="str">
        <f>IF(ISBLANK(Turvallinen_ja_toimintavarma!K21),"_Otsikkorivi",Turvallinen_ja_toimintavarma!K21)</f>
        <v>Turvallinen ja toimintavarma</v>
      </c>
      <c r="F23" s="1" t="str">
        <f>Turvallinen_ja_toimintavarma!L21</f>
        <v>2. Ajantasainen varautumis- ja valmiussuunnittelu ja yhteistyö muiden toimijoiden kanssa</v>
      </c>
      <c r="G23" s="8" t="str">
        <f>IF(ISBLANK(Turvallinen_ja_toimintavarma!R21),"Otsikkorivi",Turvallinen_ja_toimintavarma!R21)</f>
        <v>2.4 Vesihuoltolaitoksella on tehty häiriötilanneharjoittelu vuoden sisällä yhdessä sidosryhmien kanssa (tai 3 vuoden sisällä jos ei omaa vedentuotantoa)</v>
      </c>
      <c r="H23" s="1" t="str">
        <f>IF(ISBLANK(Turvallinen_ja_toimintavarma!S21),"",Turvallinen_ja_toimintavarma!S21)</f>
        <v/>
      </c>
    </row>
    <row r="24" spans="1:8" ht="30" x14ac:dyDescent="0.25">
      <c r="A24" s="1" t="str">
        <f>Turvallinen_ja_toimintavarma!I22</f>
        <v>Ei kuulu</v>
      </c>
      <c r="B24" s="1" t="str">
        <f>Turvallinen_ja_toimintavarma!P22</f>
        <v/>
      </c>
      <c r="C24" s="1" t="str">
        <f t="shared" si="0"/>
        <v>Ei</v>
      </c>
      <c r="D24" s="1" t="str">
        <f>IF(Turvallinen_ja_toimintavarma!N22="x","Kyllä","Ei")</f>
        <v>Kyllä</v>
      </c>
      <c r="E24" s="1" t="str">
        <f>IF(ISBLANK(Turvallinen_ja_toimintavarma!K22),"_Otsikkorivi",Turvallinen_ja_toimintavarma!K22)</f>
        <v>Turvallinen ja toimintavarma</v>
      </c>
      <c r="F24" s="1" t="str">
        <f>Turvallinen_ja_toimintavarma!L22</f>
        <v>2. Ajantasainen varautumis- ja valmiussuunnittelu ja yhteistyö muiden toimijoiden kanssa</v>
      </c>
      <c r="G24" s="8" t="str">
        <f>IF(ISBLANK(Turvallinen_ja_toimintavarma!R22),"Otsikkorivi",Turvallinen_ja_toimintavarma!R22)</f>
        <v>2.5 Vesihuoltopalvelun jatkuvuuden kannalta kriittiset perustoiminnot (esim. veden hankinta, veden käsittely, viemäröinti, jäteveden käsittely jne.) on tunnistettu.</v>
      </c>
      <c r="H24" s="1" t="str">
        <f>IF(ISBLANK(Turvallinen_ja_toimintavarma!S22),"",Turvallinen_ja_toimintavarma!S22)</f>
        <v/>
      </c>
    </row>
    <row r="25" spans="1:8" ht="30" x14ac:dyDescent="0.25">
      <c r="A25" s="1" t="str">
        <f>Turvallinen_ja_toimintavarma!I23</f>
        <v>Ei kuulu</v>
      </c>
      <c r="B25" s="1" t="str">
        <f>Turvallinen_ja_toimintavarma!P23</f>
        <v/>
      </c>
      <c r="C25" s="1" t="str">
        <f t="shared" si="0"/>
        <v>Ei</v>
      </c>
      <c r="D25" s="1" t="str">
        <f>IF(Turvallinen_ja_toimintavarma!N23="x","Kyllä","Ei")</f>
        <v>Kyllä</v>
      </c>
      <c r="E25" s="1" t="str">
        <f>IF(ISBLANK(Turvallinen_ja_toimintavarma!K23),"_Otsikkorivi",Turvallinen_ja_toimintavarma!K23)</f>
        <v>Turvallinen ja toimintavarma</v>
      </c>
      <c r="F25" s="1" t="str">
        <f>Turvallinen_ja_toimintavarma!L23</f>
        <v>2. Ajantasainen varautumis- ja valmiussuunnittelu ja yhteistyö muiden toimijoiden kanssa</v>
      </c>
      <c r="G25" s="8" t="str">
        <f>IF(ISBLANK(Turvallinen_ja_toimintavarma!R23),"Otsikkorivi",Turvallinen_ja_toimintavarma!R23)</f>
        <v>2.6 Varavedenottamot, varavesilaitokset ja/tai varavesiyhteydet ovat joko jatkuvassa käytössä tai niiden toimintavalmius varmistetaan (esim. näytteenotoin ja koekäyttämällä) säännöllisesti vähintään vuosittain.</v>
      </c>
      <c r="H25" s="1" t="str">
        <f>IF(ISBLANK(Turvallinen_ja_toimintavarma!S23),"",Turvallinen_ja_toimintavarma!S23)</f>
        <v/>
      </c>
    </row>
    <row r="26" spans="1:8" x14ac:dyDescent="0.25">
      <c r="A26" s="1" t="str">
        <f>Turvallinen_ja_toimintavarma!I24</f>
        <v>Ei kuulu</v>
      </c>
      <c r="B26" s="1" t="str">
        <f>Turvallinen_ja_toimintavarma!P24</f>
        <v/>
      </c>
      <c r="C26" s="1" t="str">
        <f t="shared" si="0"/>
        <v>Ei</v>
      </c>
      <c r="D26" s="1" t="str">
        <f>IF(Turvallinen_ja_toimintavarma!N24="x","Kyllä","Ei")</f>
        <v>Kyllä</v>
      </c>
      <c r="E26" s="1" t="str">
        <f>IF(ISBLANK(Turvallinen_ja_toimintavarma!K24),"_Otsikkorivi",Turvallinen_ja_toimintavarma!K24)</f>
        <v>Turvallinen ja toimintavarma</v>
      </c>
      <c r="F26" s="1" t="str">
        <f>Turvallinen_ja_toimintavarma!L24</f>
        <v>2. Ajantasainen varautumis- ja valmiussuunnittelu ja yhteistyö muiden toimijoiden kanssa</v>
      </c>
      <c r="G26" s="8" t="str">
        <f>IF(ISBLANK(Turvallinen_ja_toimintavarma!R24),"Otsikkorivi",Turvallinen_ja_toimintavarma!R24)</f>
        <v>2.7 Vesihuoltolaitos hallitsee riskiperusteisesti ja oikeasuhtaisesti ilmastonmuutoksen toiminnalleen aiheuttamia riskejä.</v>
      </c>
      <c r="H26" s="1" t="str">
        <f>IF(ISBLANK(Turvallinen_ja_toimintavarma!S24),"",Turvallinen_ja_toimintavarma!S24)</f>
        <v/>
      </c>
    </row>
    <row r="27" spans="1:8" x14ac:dyDescent="0.25">
      <c r="A27" s="1" t="str">
        <f>Turvallinen_ja_toimintavarma!I25</f>
        <v>Ei kuulu</v>
      </c>
      <c r="B27" s="1" t="str">
        <f>Turvallinen_ja_toimintavarma!P25</f>
        <v/>
      </c>
      <c r="C27" s="1" t="str">
        <f t="shared" si="0"/>
        <v>Ei</v>
      </c>
      <c r="D27" s="1" t="str">
        <f>IF(Turvallinen_ja_toimintavarma!N25="x","Kyllä","Ei")</f>
        <v>Kyllä</v>
      </c>
      <c r="E27" s="1" t="str">
        <f>IF(ISBLANK(Turvallinen_ja_toimintavarma!K25),"_Otsikkorivi",Turvallinen_ja_toimintavarma!K25)</f>
        <v>Turvallinen ja toimintavarma</v>
      </c>
      <c r="F27" s="1" t="str">
        <f>Turvallinen_ja_toimintavarma!L25</f>
        <v>2. Ajantasainen varautumis- ja valmiussuunnittelu ja yhteistyö muiden toimijoiden kanssa</v>
      </c>
      <c r="G27" s="8" t="str">
        <f>IF(ISBLANK(Turvallinen_ja_toimintavarma!R25),"Otsikkorivi",Turvallinen_ja_toimintavarma!R25)</f>
        <v xml:space="preserve">2.8 Toiminnan kannalta kriittisimmät automaatio- ja ICT-järjestelmät on tunnistettu ja niiden tietoturvaa hallitaan riskiperusteisesti. </v>
      </c>
      <c r="H27" s="1" t="str">
        <f>IF(ISBLANK(Turvallinen_ja_toimintavarma!S25),"",Turvallinen_ja_toimintavarma!S25)</f>
        <v/>
      </c>
    </row>
    <row r="28" spans="1:8" x14ac:dyDescent="0.25">
      <c r="A28" s="1" t="str">
        <f>Turvallinen_ja_toimintavarma!I26</f>
        <v>Ei kuulu</v>
      </c>
      <c r="B28" s="1" t="str">
        <f>Turvallinen_ja_toimintavarma!P26</f>
        <v/>
      </c>
      <c r="C28" s="1" t="str">
        <f t="shared" si="0"/>
        <v>Ei</v>
      </c>
      <c r="D28" s="1" t="str">
        <f>IF(Turvallinen_ja_toimintavarma!N26="x","Kyllä","Ei")</f>
        <v>Kyllä</v>
      </c>
      <c r="E28" s="1" t="str">
        <f>IF(ISBLANK(Turvallinen_ja_toimintavarma!K26),"_Otsikkorivi",Turvallinen_ja_toimintavarma!K26)</f>
        <v>Turvallinen ja toimintavarma</v>
      </c>
      <c r="F28" s="1" t="str">
        <f>Turvallinen_ja_toimintavarma!L26</f>
        <v>2. Ajantasainen varautumis- ja valmiussuunnittelu ja yhteistyö muiden toimijoiden kanssa</v>
      </c>
      <c r="G28" s="8" t="str">
        <f>IF(ISBLANK(Turvallinen_ja_toimintavarma!R26),"Otsikkorivi",Turvallinen_ja_toimintavarma!R26)</f>
        <v>2.9 Vesihuoltolaitos pitää henkilöstön VAP-varaukset ajan tasalla.</v>
      </c>
      <c r="H28" s="1" t="str">
        <f>IF(ISBLANK(Turvallinen_ja_toimintavarma!S26),"",Turvallinen_ja_toimintavarma!S26)</f>
        <v/>
      </c>
    </row>
    <row r="29" spans="1:8" ht="30" x14ac:dyDescent="0.25">
      <c r="A29" s="1" t="str">
        <f>Turvallinen_ja_toimintavarma!I27</f>
        <v>Ei kuulu</v>
      </c>
      <c r="B29" s="1" t="str">
        <f>Turvallinen_ja_toimintavarma!P27</f>
        <v/>
      </c>
      <c r="C29" s="1" t="str">
        <f t="shared" si="0"/>
        <v>Ei</v>
      </c>
      <c r="D29" s="1" t="str">
        <f>IF(Turvallinen_ja_toimintavarma!N27="x","Kyllä","Ei")</f>
        <v>Kyllä</v>
      </c>
      <c r="E29" s="1" t="str">
        <f>IF(ISBLANK(Turvallinen_ja_toimintavarma!K27),"_Otsikkorivi",Turvallinen_ja_toimintavarma!K27)</f>
        <v>Turvallinen ja toimintavarma</v>
      </c>
      <c r="F29" s="1" t="str">
        <f>Turvallinen_ja_toimintavarma!L27</f>
        <v>2. Ajantasainen varautumis- ja valmiussuunnittelu ja yhteistyö muiden toimijoiden kanssa</v>
      </c>
      <c r="G29" s="8" t="str">
        <f>IF(ISBLANK(Turvallinen_ja_toimintavarma!R27),"Otsikkorivi",Turvallinen_ja_toimintavarma!R27)</f>
        <v>2.10 Häiriötilanteisiin varautumisessa tehdään yhteistyötä viranomaisten, kunnan, materiaalitoimittajien, palveluntarjoajien, asiakkaiden ja muiden sidosryhmien kanssa.</v>
      </c>
      <c r="H29" s="1" t="str">
        <f>IF(ISBLANK(Turvallinen_ja_toimintavarma!S27),"",Turvallinen_ja_toimintavarma!S27)</f>
        <v/>
      </c>
    </row>
    <row r="30" spans="1:8" ht="30" x14ac:dyDescent="0.25">
      <c r="A30" s="1" t="str">
        <f>Turvallinen_ja_toimintavarma!I28</f>
        <v>Ei kuulu</v>
      </c>
      <c r="B30" s="1" t="str">
        <f>Turvallinen_ja_toimintavarma!P28</f>
        <v/>
      </c>
      <c r="C30" s="1" t="str">
        <f t="shared" si="0"/>
        <v>Ei</v>
      </c>
      <c r="D30" s="1" t="str">
        <f>IF(Turvallinen_ja_toimintavarma!N28="x","Kyllä","Ei")</f>
        <v>Ei</v>
      </c>
      <c r="E30" s="1" t="str">
        <f>IF(ISBLANK(Turvallinen_ja_toimintavarma!K28),"_Otsikkorivi",Turvallinen_ja_toimintavarma!K28)</f>
        <v>Turvallinen ja toimintavarma</v>
      </c>
      <c r="F30" s="1" t="str">
        <f>Turvallinen_ja_toimintavarma!L28</f>
        <v>2. Ajantasainen varautumis- ja valmiussuunnittelu ja yhteistyö muiden toimijoiden kanssa</v>
      </c>
      <c r="G30" s="8" t="str">
        <f>IF(ISBLANK(Turvallinen_ja_toimintavarma!R28),"Otsikkorivi",Turvallinen_ja_toimintavarma!R28)</f>
        <v>2.11 Vesihuoltolaitoksen pääasiallinen varmuusluokka on B (Talousvettä käytettävissä ≥ 60 % normaalista kulutuksesta, mikäli vedenjakelualueen pääasiallista vesilähdettä ei voida käyttää).</v>
      </c>
      <c r="H30" s="1" t="str">
        <f>IF(ISBLANK(Turvallinen_ja_toimintavarma!S28),"",Turvallinen_ja_toimintavarma!S28)</f>
        <v/>
      </c>
    </row>
    <row r="31" spans="1:8" ht="30" x14ac:dyDescent="0.25">
      <c r="A31" s="1" t="str">
        <f>Turvallinen_ja_toimintavarma!I29</f>
        <v>Ei kuulu</v>
      </c>
      <c r="B31" s="1" t="str">
        <f>Turvallinen_ja_toimintavarma!P29</f>
        <v/>
      </c>
      <c r="C31" s="1" t="str">
        <f t="shared" si="0"/>
        <v>Ei</v>
      </c>
      <c r="D31" s="1" t="str">
        <f>IF(Turvallinen_ja_toimintavarma!N29="x","Kyllä","Ei")</f>
        <v>Kyllä</v>
      </c>
      <c r="E31" s="1" t="str">
        <f>IF(ISBLANK(Turvallinen_ja_toimintavarma!K29),"_Otsikkorivi",Turvallinen_ja_toimintavarma!K29)</f>
        <v>Turvallinen ja toimintavarma</v>
      </c>
      <c r="F31" s="1" t="str">
        <f>Turvallinen_ja_toimintavarma!L29</f>
        <v>2. Ajantasainen varautumis- ja valmiussuunnittelu ja yhteistyö muiden toimijoiden kanssa</v>
      </c>
      <c r="G31" s="8" t="str">
        <f>IF(ISBLANK(Turvallinen_ja_toimintavarma!R29),"Otsikkorivi",Turvallinen_ja_toimintavarma!R29)</f>
        <v>2.11 Vesihuoltolaitoksen pääasiallinen varmuusluokka on A (Talousvettä käytettävissä ≥ 90 % normaalista kulutuksesta, mikäli vedenjakelualueen pääasiallista vesilähdettä ei voida käyttää).</v>
      </c>
      <c r="H31" s="1" t="str">
        <f>IF(ISBLANK(Turvallinen_ja_toimintavarma!S29),"",Turvallinen_ja_toimintavarma!S29)</f>
        <v/>
      </c>
    </row>
    <row r="32" spans="1:8" ht="60" x14ac:dyDescent="0.25">
      <c r="A32" s="1" t="str">
        <f>Turvallinen_ja_toimintavarma!I30</f>
        <v>Ei kuulu</v>
      </c>
      <c r="B32" s="1" t="str">
        <f>Turvallinen_ja_toimintavarma!P30</f>
        <v/>
      </c>
      <c r="C32" s="1" t="str">
        <f t="shared" si="0"/>
        <v>Ei</v>
      </c>
      <c r="D32" s="1" t="str">
        <f>IF(Turvallinen_ja_toimintavarma!N30="x","Kyllä","Ei")</f>
        <v>Kyllä</v>
      </c>
      <c r="E32" s="1" t="str">
        <f>IF(ISBLANK(Turvallinen_ja_toimintavarma!K30),"_Otsikkorivi",Turvallinen_ja_toimintavarma!K30)</f>
        <v>Turvallinen ja toimintavarma</v>
      </c>
      <c r="F32" s="1" t="str">
        <f>Turvallinen_ja_toimintavarma!L30</f>
        <v>2. Ajantasainen varautumis- ja valmiussuunnittelu ja yhteistyö muiden toimijoiden kanssa</v>
      </c>
      <c r="G32" s="8" t="str">
        <f>IF(ISBLANK(Turvallinen_ja_toimintavarma!R30),"Otsikkorivi",Turvallinen_ja_toimintavarma!R30)</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32" s="1" t="str">
        <f>IF(ISBLANK(Turvallinen_ja_toimintavarma!S30),"",Turvallinen_ja_toimintavarma!S30)</f>
        <v/>
      </c>
    </row>
    <row r="33" spans="1:8" ht="45" x14ac:dyDescent="0.25">
      <c r="A33" s="1" t="str">
        <f>Turvallinen_ja_toimintavarma!I31</f>
        <v>Ei kuulu</v>
      </c>
      <c r="B33" s="1" t="str">
        <f>Turvallinen_ja_toimintavarma!P31</f>
        <v/>
      </c>
      <c r="C33" s="1" t="str">
        <f t="shared" si="0"/>
        <v>Ei</v>
      </c>
      <c r="D33" s="1" t="str">
        <f>IF(Turvallinen_ja_toimintavarma!N31="x","Kyllä","Ei")</f>
        <v>Kyllä</v>
      </c>
      <c r="E33" s="1" t="str">
        <f>IF(ISBLANK(Turvallinen_ja_toimintavarma!K31),"_Otsikkorivi",Turvallinen_ja_toimintavarma!K31)</f>
        <v>Turvallinen ja toimintavarma</v>
      </c>
      <c r="F33" s="1" t="str">
        <f>Turvallinen_ja_toimintavarma!L31</f>
        <v>2. Ajantasainen varautumis- ja valmiussuunnittelu ja yhteistyö muiden toimijoiden kanssa</v>
      </c>
      <c r="G33" s="8" t="str">
        <f>IF(ISBLANK(Turvallinen_ja_toimintavarma!R31),"Otsikkorivi",Turvallinen_ja_toimintavarma!R31)</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33" s="1" t="str">
        <f>IF(ISBLANK(Turvallinen_ja_toimintavarma!S31),"",Turvallinen_ja_toimintavarma!S31)</f>
        <v/>
      </c>
    </row>
    <row r="34" spans="1:8" x14ac:dyDescent="0.25">
      <c r="A34" s="1" t="str">
        <f>Turvallinen_ja_toimintavarma!I32</f>
        <v>Ei kuulu</v>
      </c>
      <c r="B34" s="1" t="str">
        <f>Turvallinen_ja_toimintavarma!P32</f>
        <v/>
      </c>
      <c r="C34" s="1" t="str">
        <f t="shared" si="0"/>
        <v>Ei</v>
      </c>
      <c r="D34" s="1" t="str">
        <f>IF(Turvallinen_ja_toimintavarma!N32="x","Kyllä","Ei")</f>
        <v>Kyllä</v>
      </c>
      <c r="E34" s="1" t="str">
        <f>IF(ISBLANK(Turvallinen_ja_toimintavarma!K32),"_Otsikkorivi",Turvallinen_ja_toimintavarma!K32)</f>
        <v>Turvallinen ja toimintavarma</v>
      </c>
      <c r="F34" s="1" t="str">
        <f>Turvallinen_ja_toimintavarma!L32</f>
        <v>2. Ajantasainen varautumis- ja valmiussuunnittelu ja yhteistyö muiden toimijoiden kanssa</v>
      </c>
      <c r="G34" s="8" t="str">
        <f>IF(ISBLANK(Turvallinen_ja_toimintavarma!R32),"Otsikkorivi",Turvallinen_ja_toimintavarma!R32)</f>
        <v xml:space="preserve">2.14 Varavoimakoneiden käyttöönotto ja toimivuus testataan säännöllisesti. </v>
      </c>
      <c r="H34" s="1" t="str">
        <f>IF(ISBLANK(Turvallinen_ja_toimintavarma!S32),"",Turvallinen_ja_toimintavarma!S32)</f>
        <v/>
      </c>
    </row>
    <row r="35" spans="1:8" ht="30" x14ac:dyDescent="0.25">
      <c r="A35" s="1" t="str">
        <f>Turvallinen_ja_toimintavarma!I33</f>
        <v>Ei kuulu</v>
      </c>
      <c r="B35" s="1" t="str">
        <f>Turvallinen_ja_toimintavarma!P33</f>
        <v/>
      </c>
      <c r="C35" s="1" t="str">
        <f t="shared" si="0"/>
        <v>Ei</v>
      </c>
      <c r="D35" s="1" t="str">
        <f>IF(Turvallinen_ja_toimintavarma!N33="x","Kyllä","Ei")</f>
        <v>Kyllä</v>
      </c>
      <c r="E35" s="1" t="str">
        <f>IF(ISBLANK(Turvallinen_ja_toimintavarma!K33),"_Otsikkorivi",Turvallinen_ja_toimintavarma!K33)</f>
        <v>Turvallinen ja toimintavarma</v>
      </c>
      <c r="F35" s="1" t="str">
        <f>Turvallinen_ja_toimintavarma!L33</f>
        <v>2. Ajantasainen varautumis- ja valmiussuunnittelu ja yhteistyö muiden toimijoiden kanssa</v>
      </c>
      <c r="G35" s="8" t="str">
        <f>IF(ISBLANK(Turvallinen_ja_toimintavarma!R33),"Otsikkorivi",Turvallinen_ja_toimintavarma!R33)</f>
        <v>2.15 Vesihuoltolaitos on selvittänyt materiaalisia yhteistyötarpeita ja -mahdollisuuksia muiden vesihuoltolaitosten kanssa. Jos yhteisiä tarpeita ja mahdollisuuksia on havaittu, on tehty yhteistyösopimuksia (esim. varavoima, vedenjakelukalusto, kemikaalit, varaosat).</v>
      </c>
      <c r="H35" s="1" t="str">
        <f>IF(ISBLANK(Turvallinen_ja_toimintavarma!S33),"",Turvallinen_ja_toimintavarma!S33)</f>
        <v/>
      </c>
    </row>
    <row r="36" spans="1:8" ht="45" x14ac:dyDescent="0.25">
      <c r="A36" s="1" t="str">
        <f>Turvallinen_ja_toimintavarma!I34</f>
        <v>Ei kuulu</v>
      </c>
      <c r="B36" s="1" t="str">
        <f>Turvallinen_ja_toimintavarma!P34</f>
        <v/>
      </c>
      <c r="C36" s="1" t="str">
        <f t="shared" si="0"/>
        <v>Ei</v>
      </c>
      <c r="D36" s="1" t="str">
        <f>IF(Turvallinen_ja_toimintavarma!N34="x","Kyllä","Ei")</f>
        <v>Kyllä</v>
      </c>
      <c r="E36" s="1" t="str">
        <f>IF(ISBLANK(Turvallinen_ja_toimintavarma!K34),"_Otsikkorivi",Turvallinen_ja_toimintavarma!K34)</f>
        <v>Turvallinen ja toimintavarma</v>
      </c>
      <c r="F36" s="1" t="str">
        <f>Turvallinen_ja_toimintavarma!L34</f>
        <v>2. Ajantasainen varautumis- ja valmiussuunnittelu ja yhteistyö muiden toimijoiden kanssa</v>
      </c>
      <c r="G36" s="8" t="str">
        <f>IF(ISBLANK(Turvallinen_ja_toimintavarma!R34),"Otsikkorivi",Turvallinen_ja_toimintavarma!R34)</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6" s="1" t="str">
        <f>IF(ISBLANK(Turvallinen_ja_toimintavarma!S34),"",Turvallinen_ja_toimintavarma!S34)</f>
        <v/>
      </c>
    </row>
    <row r="37" spans="1:8" ht="30" x14ac:dyDescent="0.25">
      <c r="A37" s="1" t="str">
        <f>Turvallinen_ja_toimintavarma!I35</f>
        <v>Ei kuulu</v>
      </c>
      <c r="B37" s="1" t="str">
        <f>Turvallinen_ja_toimintavarma!P35</f>
        <v/>
      </c>
      <c r="C37" s="1" t="str">
        <f t="shared" si="0"/>
        <v>Ei</v>
      </c>
      <c r="D37" s="1" t="str">
        <f>IF(Turvallinen_ja_toimintavarma!N35="x","Kyllä","Ei")</f>
        <v>Kyllä</v>
      </c>
      <c r="E37" s="1" t="str">
        <f>IF(ISBLANK(Turvallinen_ja_toimintavarma!K35),"_Otsikkorivi",Turvallinen_ja_toimintavarma!K35)</f>
        <v>Turvallinen ja toimintavarma</v>
      </c>
      <c r="F37" s="1" t="str">
        <f>Turvallinen_ja_toimintavarma!L35</f>
        <v>2. Ajantasainen varautumis- ja valmiussuunnittelu ja yhteistyö muiden toimijoiden kanssa</v>
      </c>
      <c r="G37" s="8" t="str">
        <f>IF(ISBLANK(Turvallinen_ja_toimintavarma!R35),"Otsikkorivi",Turvallinen_ja_toimintavarma!R35)</f>
        <v>2.17 On selvitetty mahdollisuuksia ja tarvetta vesihuoltolaitosten välisiin olennaisiin normaali/poikkeustilanteen verkostoyhteyksiin ja jos tarve on tunnistettu, on tehty sopimukset, rakennettu yhteydet sekä sovittu käytännöistä.</v>
      </c>
      <c r="H37" s="1" t="str">
        <f>IF(ISBLANK(Turvallinen_ja_toimintavarma!S35),"",Turvallinen_ja_toimintavarma!S35)</f>
        <v/>
      </c>
    </row>
    <row r="38" spans="1:8" ht="30" x14ac:dyDescent="0.25">
      <c r="A38" s="1" t="str">
        <f>Turvallinen_ja_toimintavarma!I36</f>
        <v>Ei kuulu</v>
      </c>
      <c r="B38" s="1" t="str">
        <f>Turvallinen_ja_toimintavarma!P36</f>
        <v/>
      </c>
      <c r="C38" s="1" t="str">
        <f t="shared" si="0"/>
        <v>Ei</v>
      </c>
      <c r="D38" s="1" t="str">
        <f>IF(Turvallinen_ja_toimintavarma!N36="x","Kyllä","Ei")</f>
        <v>Kyllä</v>
      </c>
      <c r="E38" s="1" t="str">
        <f>IF(ISBLANK(Turvallinen_ja_toimintavarma!K36),"_Otsikkorivi",Turvallinen_ja_toimintavarma!K36)</f>
        <v>Turvallinen ja toimintavarma</v>
      </c>
      <c r="F38" s="1" t="str">
        <f>Turvallinen_ja_toimintavarma!L36</f>
        <v>2. Ajantasainen varautumis- ja valmiussuunnittelu ja yhteistyö muiden toimijoiden kanssa</v>
      </c>
      <c r="G38" s="8" t="str">
        <f>IF(ISBLANK(Turvallinen_ja_toimintavarma!R36),"Otsikkorivi",Turvallinen_ja_toimintavarma!R36)</f>
        <v>2.18 Vesihuoltolaitoksen kohteiden (esim. kiinteistöjen, toimitilojen) riittävästä fyysisestä turvallisuudesta (lukitus, kulunseuranta, aitaus, valvontakamerat tms.)  on huolehdittu asianmukaisesti ottaen huomioon niiden kriittisyys.</v>
      </c>
      <c r="H38" s="1" t="str">
        <f>IF(ISBLANK(Turvallinen_ja_toimintavarma!S36),"",Turvallinen_ja_toimintavarma!S36)</f>
        <v/>
      </c>
    </row>
    <row r="39" spans="1:8" ht="45" x14ac:dyDescent="0.25">
      <c r="A39" s="1" t="str">
        <f>Turvallinen_ja_toimintavarma!I37</f>
        <v>Ei kuulu</v>
      </c>
      <c r="B39" s="1" t="str">
        <f>Turvallinen_ja_toimintavarma!P37</f>
        <v/>
      </c>
      <c r="C39" s="1" t="str">
        <f t="shared" si="0"/>
        <v>Ei</v>
      </c>
      <c r="D39" s="1" t="str">
        <f>IF(Turvallinen_ja_toimintavarma!N37="x","Kyllä","Ei")</f>
        <v>Kyllä</v>
      </c>
      <c r="E39" s="1" t="str">
        <f>IF(ISBLANK(Turvallinen_ja_toimintavarma!K37),"_Otsikkorivi",Turvallinen_ja_toimintavarma!K37)</f>
        <v>Turvallinen ja toimintavarma</v>
      </c>
      <c r="F39" s="1" t="str">
        <f>Turvallinen_ja_toimintavarma!L37</f>
        <v>2. Ajantasainen varautumis- ja valmiussuunnittelu ja yhteistyö muiden toimijoiden kanssa</v>
      </c>
      <c r="G39" s="8" t="str">
        <f>IF(ISBLANK(Turvallinen_ja_toimintavarma!R37),"Otsikkorivi",Turvallinen_ja_toimintavarma!R37)</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9" s="1" t="str">
        <f>IF(ISBLANK(Turvallinen_ja_toimintavarma!S37),"",Turvallinen_ja_toimintavarma!S37)</f>
        <v/>
      </c>
    </row>
    <row r="40" spans="1:8" ht="30" x14ac:dyDescent="0.25">
      <c r="A40" s="1" t="str">
        <f>Turvallinen_ja_toimintavarma!I38</f>
        <v>Ei kuulu</v>
      </c>
      <c r="B40" s="1" t="str">
        <f>Turvallinen_ja_toimintavarma!P38</f>
        <v/>
      </c>
      <c r="C40" s="1" t="str">
        <f t="shared" si="0"/>
        <v>Ei</v>
      </c>
      <c r="D40" s="1" t="str">
        <f>IF(Turvallinen_ja_toimintavarma!N38="x","Kyllä","Ei")</f>
        <v>Kyllä</v>
      </c>
      <c r="E40" s="1" t="str">
        <f>IF(ISBLANK(Turvallinen_ja_toimintavarma!K38),"_Otsikkorivi",Turvallinen_ja_toimintavarma!K38)</f>
        <v>Turvallinen ja toimintavarma</v>
      </c>
      <c r="F40" s="1" t="str">
        <f>Turvallinen_ja_toimintavarma!L38</f>
        <v>2. Ajantasainen varautumis- ja valmiussuunnittelu ja yhteistyö muiden toimijoiden kanssa</v>
      </c>
      <c r="G40" s="8" t="str">
        <f>IF(ISBLANK(Turvallinen_ja_toimintavarma!R38),"Otsikkorivi",Turvallinen_ja_toimintavarma!R38)</f>
        <v xml:space="preserve">2.20 Vesihuoltolaitoksella on häiriötilanteiden hoitoa varten etukäteen sovittu ja harjoiteltu toimintatapa tilannekuvan kokoamiseen ja ylläpitoon. </v>
      </c>
      <c r="H40" s="1" t="str">
        <f>IF(ISBLANK(Turvallinen_ja_toimintavarma!S38),"",Turvallinen_ja_toimintavarma!S38)</f>
        <v/>
      </c>
    </row>
    <row r="41" spans="1:8" ht="30" x14ac:dyDescent="0.25">
      <c r="A41" s="1" t="str">
        <f>Turvallinen_ja_toimintavarma!I39</f>
        <v>Ei kuulu</v>
      </c>
      <c r="B41" s="1" t="str">
        <f>Turvallinen_ja_toimintavarma!P39</f>
        <v/>
      </c>
      <c r="C41" s="1" t="str">
        <f t="shared" si="0"/>
        <v>Ei</v>
      </c>
      <c r="D41" s="1" t="str">
        <f>IF(Turvallinen_ja_toimintavarma!N39="x","Kyllä","Ei")</f>
        <v>Kyllä</v>
      </c>
      <c r="E41" s="1" t="str">
        <f>IF(ISBLANK(Turvallinen_ja_toimintavarma!K39),"_Otsikkorivi",Turvallinen_ja_toimintavarma!K39)</f>
        <v>Turvallinen ja toimintavarma</v>
      </c>
      <c r="F41" s="1" t="str">
        <f>Turvallinen_ja_toimintavarma!L39</f>
        <v>2. Ajantasainen varautumis- ja valmiussuunnittelu ja yhteistyö muiden toimijoiden kanssa</v>
      </c>
      <c r="G41" s="8" t="str">
        <f>IF(ISBLANK(Turvallinen_ja_toimintavarma!R39),"Otsikkorivi",Turvallinen_ja_toimintavarma!R39)</f>
        <v>2.21 Vesihuoltolaitoksella on laadittu toiminnan kannalta kriittisten automaatio- ja ICT-järjestelmien häiriötilanteiden varajärjestelyt ja häiriöistä toipuminen on suunniteltu. Tietoturvaa havainnoidaan.</v>
      </c>
      <c r="H41" s="1" t="str">
        <f>IF(ISBLANK(Turvallinen_ja_toimintavarma!S39),"",Turvallinen_ja_toimintavarma!S39)</f>
        <v/>
      </c>
    </row>
    <row r="42" spans="1:8" ht="45" x14ac:dyDescent="0.25">
      <c r="A42" s="1" t="str">
        <f>Turvallinen_ja_toimintavarma!I40</f>
        <v>Ei kuulu</v>
      </c>
      <c r="B42" s="1" t="str">
        <f>Turvallinen_ja_toimintavarma!P40</f>
        <v/>
      </c>
      <c r="C42" s="1" t="str">
        <f t="shared" si="0"/>
        <v>Ei</v>
      </c>
      <c r="D42" s="1" t="str">
        <f>IF(Turvallinen_ja_toimintavarma!N40="x","Kyllä","Ei")</f>
        <v>Kyllä</v>
      </c>
      <c r="E42" s="1" t="str">
        <f>IF(ISBLANK(Turvallinen_ja_toimintavarma!K40),"_Otsikkorivi",Turvallinen_ja_toimintavarma!K40)</f>
        <v>Turvallinen ja toimintavarma</v>
      </c>
      <c r="F42" s="1" t="str">
        <f>Turvallinen_ja_toimintavarma!L40</f>
        <v>2. Ajantasainen varautumis- ja valmiussuunnittelu ja yhteistyö muiden toimijoiden kanssa</v>
      </c>
      <c r="G42" s="8" t="str">
        <f>IF(ISBLANK(Turvallinen_ja_toimintavarma!R40),"Otsikkorivi",Turvallinen_ja_toimintavarma!R40)</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42" s="1" t="str">
        <f>IF(ISBLANK(Turvallinen_ja_toimintavarma!S40),"",Turvallinen_ja_toimintavarma!S40)</f>
        <v/>
      </c>
    </row>
    <row r="43" spans="1:8" ht="30" x14ac:dyDescent="0.25">
      <c r="A43" s="1" t="str">
        <f>Turvallinen_ja_toimintavarma!I41</f>
        <v>Ei kuulu</v>
      </c>
      <c r="B43" s="1" t="str">
        <f>Turvallinen_ja_toimintavarma!P41</f>
        <v/>
      </c>
      <c r="C43" s="1" t="str">
        <f t="shared" si="0"/>
        <v>Ei</v>
      </c>
      <c r="D43" s="1" t="str">
        <f>IF(Turvallinen_ja_toimintavarma!N41="x","Kyllä","Ei")</f>
        <v>Kyllä</v>
      </c>
      <c r="E43" s="1" t="str">
        <f>IF(ISBLANK(Turvallinen_ja_toimintavarma!K41),"_Otsikkorivi",Turvallinen_ja_toimintavarma!K41)</f>
        <v>Turvallinen ja toimintavarma</v>
      </c>
      <c r="F43" s="1" t="str">
        <f>Turvallinen_ja_toimintavarma!L41</f>
        <v>2. Ajantasainen varautumis- ja valmiussuunnittelu ja yhteistyö muiden toimijoiden kanssa</v>
      </c>
      <c r="G43" s="8" t="str">
        <f>IF(ISBLANK(Turvallinen_ja_toimintavarma!R41),"Otsikkorivi",Turvallinen_ja_toimintavarma!R41)</f>
        <v>2.23 Vesihuoltolaitos pitää tarvitsemiensa ajoneuvojen ja työkoneiden ATV-varaukset ajan tasalla. (Välttämättömien ajoneuvojen ja työkoneiden varaaminen poikkeusoloissa vesihuollon käyttöön)</v>
      </c>
      <c r="H43" s="1" t="str">
        <f>IF(ISBLANK(Turvallinen_ja_toimintavarma!S41),"",Turvallinen_ja_toimintavarma!S41)</f>
        <v/>
      </c>
    </row>
    <row r="44" spans="1:8" ht="30" x14ac:dyDescent="0.25">
      <c r="A44" s="1" t="str">
        <f>Turvallinen_ja_toimintavarma!I42</f>
        <v>Ei kuulu</v>
      </c>
      <c r="B44" s="1" t="str">
        <f>Turvallinen_ja_toimintavarma!P42</f>
        <v/>
      </c>
      <c r="C44" s="1" t="str">
        <f t="shared" si="0"/>
        <v>Ei</v>
      </c>
      <c r="D44" s="1" t="str">
        <f>IF(Turvallinen_ja_toimintavarma!N42="x","Kyllä","Ei")</f>
        <v>Kyllä</v>
      </c>
      <c r="E44" s="1" t="str">
        <f>IF(ISBLANK(Turvallinen_ja_toimintavarma!K42),"_Otsikkorivi",Turvallinen_ja_toimintavarma!K42)</f>
        <v>Turvallinen ja toimintavarma</v>
      </c>
      <c r="F44" s="1" t="str">
        <f>Turvallinen_ja_toimintavarma!L42</f>
        <v>2. Ajantasainen varautumis- ja valmiussuunnittelu ja yhteistyö muiden toimijoiden kanssa</v>
      </c>
      <c r="G44" s="8" t="str">
        <f>IF(ISBLANK(Turvallinen_ja_toimintavarma!R42),"Otsikkorivi",Turvallinen_ja_toimintavarma!R42)</f>
        <v>2.24 Automaatio- ja ICT-järjestelmien (OT- ja IT- järjestelmät) tietoturvaa on arvioitu hyödyntäen Kybermittaria tai Kyber-Vesi -hankkeen automaation vaatimuspatteristoa.</v>
      </c>
      <c r="H44" s="1" t="str">
        <f>IF(ISBLANK(Turvallinen_ja_toimintavarma!S42),"",Turvallinen_ja_toimintavarma!S42)</f>
        <v/>
      </c>
    </row>
    <row r="45" spans="1:8" x14ac:dyDescent="0.25">
      <c r="A45" s="1" t="str">
        <f>Turvallinen_ja_toimintavarma!I43</f>
        <v>Ei kuulu</v>
      </c>
      <c r="B45" s="1" t="str">
        <f>Turvallinen_ja_toimintavarma!P43</f>
        <v/>
      </c>
      <c r="C45" s="1" t="str">
        <f t="shared" si="0"/>
        <v>Ei</v>
      </c>
      <c r="D45" s="1" t="str">
        <f>IF(Turvallinen_ja_toimintavarma!N43="x","Kyllä","Ei")</f>
        <v>Ei</v>
      </c>
      <c r="E45" s="1" t="str">
        <f>IF(ISBLANK(Turvallinen_ja_toimintavarma!K43),"_Otsikkorivi",Turvallinen_ja_toimintavarma!K43)</f>
        <v>Turvallinen ja toimintavarma</v>
      </c>
      <c r="F45" s="1" t="str">
        <f>Turvallinen_ja_toimintavarma!L43</f>
        <v>_Otsikkorivi</v>
      </c>
      <c r="G45" s="8" t="str">
        <f>IF(ISBLANK(Turvallinen_ja_toimintavarma!R43),"Otsikkorivi",Turvallinen_ja_toimintavarma!R43)</f>
        <v>3. Kriittiset asiakkaat, väliaikainen vedenjakelu ja poikkeustilanteiden viestintä</v>
      </c>
      <c r="H45" s="1" t="str">
        <f>IF(ISBLANK(Turvallinen_ja_toimintavarma!S43),"",Turvallinen_ja_toimintavarma!S43)</f>
        <v/>
      </c>
    </row>
    <row r="46" spans="1:8" ht="30" x14ac:dyDescent="0.25">
      <c r="A46" s="1" t="str">
        <f>Turvallinen_ja_toimintavarma!I44</f>
        <v>Ei kuulu</v>
      </c>
      <c r="B46" s="1" t="str">
        <f>Turvallinen_ja_toimintavarma!P44</f>
        <v/>
      </c>
      <c r="C46" s="1" t="str">
        <f t="shared" si="0"/>
        <v>Ei</v>
      </c>
      <c r="D46" s="1" t="str">
        <f>IF(Turvallinen_ja_toimintavarma!N44="x","Kyllä","Ei")</f>
        <v>Kyllä</v>
      </c>
      <c r="E46" s="1" t="str">
        <f>IF(ISBLANK(Turvallinen_ja_toimintavarma!K44),"_Otsikkorivi",Turvallinen_ja_toimintavarma!K44)</f>
        <v>Turvallinen ja toimintavarma</v>
      </c>
      <c r="F46" s="1" t="str">
        <f>Turvallinen_ja_toimintavarma!L44</f>
        <v>3. Kriittiset asiakkaat, väliaikainen vedenjakelu ja poikkeustilanteiden viestintä</v>
      </c>
      <c r="G46" s="8" t="str">
        <f>IF(ISBLANK(Turvallinen_ja_toimintavarma!R44),"Otsikkorivi",Turvallinen_ja_toimintavarma!R44)</f>
        <v xml:space="preserve">3.1 Vesihuoltolaitoksen kriittiset asiakkaat on tunnistettu (määritetty ja luokiteltu) ja dokumentoitu (esim. vesihuoltolaitoksen verkkotietojärjestelmään ja varautumisohjeisiin) </v>
      </c>
      <c r="H46" s="1" t="str">
        <f>IF(ISBLANK(Turvallinen_ja_toimintavarma!S44),"",Turvallinen_ja_toimintavarma!S44)</f>
        <v/>
      </c>
    </row>
    <row r="47" spans="1:8" ht="30" x14ac:dyDescent="0.25">
      <c r="A47" s="1" t="str">
        <f>Turvallinen_ja_toimintavarma!I45</f>
        <v>Ei kuulu</v>
      </c>
      <c r="B47" s="1" t="str">
        <f>Turvallinen_ja_toimintavarma!P45</f>
        <v/>
      </c>
      <c r="C47" s="1" t="str">
        <f t="shared" si="0"/>
        <v>Ei</v>
      </c>
      <c r="D47" s="1" t="str">
        <f>IF(Turvallinen_ja_toimintavarma!N45="x","Kyllä","Ei")</f>
        <v>Kyllä</v>
      </c>
      <c r="E47" s="1" t="str">
        <f>IF(ISBLANK(Turvallinen_ja_toimintavarma!K45),"_Otsikkorivi",Turvallinen_ja_toimintavarma!K45)</f>
        <v>Turvallinen ja toimintavarma</v>
      </c>
      <c r="F47" s="1" t="str">
        <f>Turvallinen_ja_toimintavarma!L45</f>
        <v>3. Kriittiset asiakkaat, väliaikainen vedenjakelu ja poikkeustilanteiden viestintä</v>
      </c>
      <c r="G47" s="8" t="str">
        <f>IF(ISBLANK(Turvallinen_ja_toimintavarma!R45),"Otsikkorivi",Turvallinen_ja_toimintavarma!R45)</f>
        <v>3.2 Varavedenjakelukaluston saatavuus ja riittävä kapasiteetti on varmistettu tavanomaisissa (pienivaikutteisissa) vedenjakelun häiriötilanteissa omalla kalustolla ja/tai muuten.</v>
      </c>
      <c r="H47" s="1" t="str">
        <f>IF(ISBLANK(Turvallinen_ja_toimintavarma!S45),"",Turvallinen_ja_toimintavarma!S45)</f>
        <v/>
      </c>
    </row>
    <row r="48" spans="1:8" ht="30" x14ac:dyDescent="0.25">
      <c r="A48" s="1" t="str">
        <f>Turvallinen_ja_toimintavarma!I46</f>
        <v>Ei kuulu</v>
      </c>
      <c r="B48" s="1" t="str">
        <f>Turvallinen_ja_toimintavarma!P46</f>
        <v/>
      </c>
      <c r="C48" s="1" t="str">
        <f t="shared" si="0"/>
        <v>Ei</v>
      </c>
      <c r="D48" s="1" t="str">
        <f>IF(Turvallinen_ja_toimintavarma!N46="x","Kyllä","Ei")</f>
        <v>Kyllä</v>
      </c>
      <c r="E48" s="1" t="str">
        <f>IF(ISBLANK(Turvallinen_ja_toimintavarma!K46),"_Otsikkorivi",Turvallinen_ja_toimintavarma!K46)</f>
        <v>Turvallinen ja toimintavarma</v>
      </c>
      <c r="F48" s="1" t="str">
        <f>Turvallinen_ja_toimintavarma!L46</f>
        <v>3. Kriittiset asiakkaat, väliaikainen vedenjakelu ja poikkeustilanteiden viestintä</v>
      </c>
      <c r="G48" s="8" t="str">
        <f>IF(ISBLANK(Turvallinen_ja_toimintavarma!R46),"Otsikkorivi",Turvallinen_ja_toimintavarma!R46)</f>
        <v xml:space="preserve">3.3 Vesihuoltolaitoksen varavedenjakelu (esim. jakelupisteet, kalusto, säiliöt, pullot yms.) on suunniteltu myös laajavaikutteisiin vedenjakelutarpeisiin. </v>
      </c>
      <c r="H48" s="1" t="str">
        <f>IF(ISBLANK(Turvallinen_ja_toimintavarma!S46),"",Turvallinen_ja_toimintavarma!S46)</f>
        <v/>
      </c>
    </row>
    <row r="49" spans="1:8" x14ac:dyDescent="0.25">
      <c r="A49" s="1" t="str">
        <f>Turvallinen_ja_toimintavarma!I47</f>
        <v>Ei kuulu</v>
      </c>
      <c r="B49" s="1" t="str">
        <f>Turvallinen_ja_toimintavarma!P47</f>
        <v/>
      </c>
      <c r="C49" s="1" t="str">
        <f t="shared" si="0"/>
        <v>Ei</v>
      </c>
      <c r="D49" s="1" t="str">
        <f>IF(Turvallinen_ja_toimintavarma!N47="x","Kyllä","Ei")</f>
        <v>Kyllä</v>
      </c>
      <c r="E49" s="1" t="str">
        <f>IF(ISBLANK(Turvallinen_ja_toimintavarma!K47),"_Otsikkorivi",Turvallinen_ja_toimintavarma!K47)</f>
        <v>Turvallinen ja toimintavarma</v>
      </c>
      <c r="F49" s="1" t="str">
        <f>Turvallinen_ja_toimintavarma!L47</f>
        <v>3. Kriittiset asiakkaat, väliaikainen vedenjakelu ja poikkeustilanteiden viestintä</v>
      </c>
      <c r="G49" s="8" t="str">
        <f>IF(ISBLANK(Turvallinen_ja_toimintavarma!R47),"Otsikkorivi",Turvallinen_ja_toimintavarma!R47)</f>
        <v xml:space="preserve">3.4 Varavedenjakelua on harjoiteltu.  (esim. todellisten tilanteiden myötä) </v>
      </c>
      <c r="H49" s="1" t="str">
        <f>IF(ISBLANK(Turvallinen_ja_toimintavarma!S47),"",Turvallinen_ja_toimintavarma!S47)</f>
        <v/>
      </c>
    </row>
    <row r="50" spans="1:8" ht="45" x14ac:dyDescent="0.25">
      <c r="A50" s="1" t="str">
        <f>Turvallinen_ja_toimintavarma!I48</f>
        <v>Ei kuulu</v>
      </c>
      <c r="B50" s="1" t="str">
        <f>Turvallinen_ja_toimintavarma!P48</f>
        <v/>
      </c>
      <c r="C50" s="1" t="str">
        <f t="shared" si="0"/>
        <v>Ei</v>
      </c>
      <c r="D50" s="1" t="str">
        <f>IF(Turvallinen_ja_toimintavarma!N48="x","Kyllä","Ei")</f>
        <v>Kyllä</v>
      </c>
      <c r="E50" s="1" t="str">
        <f>IF(ISBLANK(Turvallinen_ja_toimintavarma!K48),"_Otsikkorivi",Turvallinen_ja_toimintavarma!K48)</f>
        <v>Turvallinen ja toimintavarma</v>
      </c>
      <c r="F50" s="1" t="str">
        <f>Turvallinen_ja_toimintavarma!L48</f>
        <v>3. Kriittiset asiakkaat, väliaikainen vedenjakelu ja poikkeustilanteiden viestintä</v>
      </c>
      <c r="G50" s="8" t="str">
        <f>IF(ISBLANK(Turvallinen_ja_toimintavarma!R48),"Otsikkorivi",Turvallinen_ja_toimintavarma!R48)</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50" s="1" t="str">
        <f>IF(ISBLANK(Turvallinen_ja_toimintavarma!S48),"",Turvallinen_ja_toimintavarma!S48)</f>
        <v/>
      </c>
    </row>
    <row r="51" spans="1:8" x14ac:dyDescent="0.25">
      <c r="A51" s="1" t="str">
        <f>Turvallinen_ja_toimintavarma!I49</f>
        <v>Ei kuulu</v>
      </c>
      <c r="B51" s="1" t="str">
        <f>Turvallinen_ja_toimintavarma!P49</f>
        <v/>
      </c>
      <c r="C51" s="1" t="str">
        <f t="shared" si="0"/>
        <v>Ei</v>
      </c>
      <c r="D51" s="1" t="str">
        <f>IF(Turvallinen_ja_toimintavarma!N49="x","Kyllä","Ei")</f>
        <v>Kyllä</v>
      </c>
      <c r="E51" s="1" t="str">
        <f>IF(ISBLANK(Turvallinen_ja_toimintavarma!K49),"_Otsikkorivi",Turvallinen_ja_toimintavarma!K49)</f>
        <v>Turvallinen ja toimintavarma</v>
      </c>
      <c r="F51" s="1" t="str">
        <f>Turvallinen_ja_toimintavarma!L49</f>
        <v>3. Kriittiset asiakkaat, väliaikainen vedenjakelu ja poikkeustilanteiden viestintä</v>
      </c>
      <c r="G51" s="8" t="str">
        <f>IF(ISBLANK(Turvallinen_ja_toimintavarma!R49),"Otsikkorivi",Turvallinen_ja_toimintavarma!R49)</f>
        <v>3.6 Vesihuoltolaitos seuraa parametria yli 12 h vedentoimituskatkokset (kpl/v, liittyjät/vuosi)</v>
      </c>
      <c r="H51" s="1" t="str">
        <f>IF(ISBLANK(Turvallinen_ja_toimintavarma!S49),"",Turvallinen_ja_toimintavarma!S49)</f>
        <v/>
      </c>
    </row>
    <row r="52" spans="1:8" ht="30" x14ac:dyDescent="0.25">
      <c r="A52" s="1" t="str">
        <f>Turvallinen_ja_toimintavarma!I50</f>
        <v>Ei kuulu</v>
      </c>
      <c r="B52" s="1" t="str">
        <f>Turvallinen_ja_toimintavarma!P50</f>
        <v/>
      </c>
      <c r="C52" s="1" t="str">
        <f t="shared" si="0"/>
        <v>Ei</v>
      </c>
      <c r="D52" s="1" t="str">
        <f>IF(Turvallinen_ja_toimintavarma!N50="x","Kyllä","Ei")</f>
        <v>Kyllä</v>
      </c>
      <c r="E52" s="1" t="str">
        <f>IF(ISBLANK(Turvallinen_ja_toimintavarma!K50),"_Otsikkorivi",Turvallinen_ja_toimintavarma!K50)</f>
        <v>Turvallinen ja toimintavarma</v>
      </c>
      <c r="F52" s="1" t="str">
        <f>Turvallinen_ja_toimintavarma!L50</f>
        <v>3. Kriittiset asiakkaat, väliaikainen vedenjakelu ja poikkeustilanteiden viestintä</v>
      </c>
      <c r="G52" s="8" t="str">
        <f>IF(ISBLANK(Turvallinen_ja_toimintavarma!R50),"Otsikkorivi",Turvallinen_ja_toimintavarma!R50)</f>
        <v>3.7 Vesihuoltolaitoksella on valmius ilmoittaa keittokehotuksesta tai muista vedenkäyttöön liittyvistä häiriöistä vedenkäyttäjille tar-koituksenmukaisia viestintäkanavia käyttäen tarvittaessa myös kohdennetusti (esim. laputtamalla, tekstiviestillä).</v>
      </c>
      <c r="H52" s="1" t="str">
        <f>IF(ISBLANK(Turvallinen_ja_toimintavarma!S50),"",Turvallinen_ja_toimintavarma!S50)</f>
        <v/>
      </c>
    </row>
    <row r="53" spans="1:8" ht="30" x14ac:dyDescent="0.25">
      <c r="A53" s="1" t="str">
        <f>Turvallinen_ja_toimintavarma!I51</f>
        <v>Ei kuulu</v>
      </c>
      <c r="B53" s="1" t="str">
        <f>Turvallinen_ja_toimintavarma!P51</f>
        <v/>
      </c>
      <c r="C53" s="1" t="str">
        <f t="shared" si="0"/>
        <v>Ei</v>
      </c>
      <c r="D53" s="1" t="str">
        <f>IF(Turvallinen_ja_toimintavarma!N51="x","Kyllä","Ei")</f>
        <v>Kyllä</v>
      </c>
      <c r="E53" s="1" t="str">
        <f>IF(ISBLANK(Turvallinen_ja_toimintavarma!K51),"_Otsikkorivi",Turvallinen_ja_toimintavarma!K51)</f>
        <v>Turvallinen ja toimintavarma</v>
      </c>
      <c r="F53" s="1" t="str">
        <f>Turvallinen_ja_toimintavarma!L51</f>
        <v>3. Kriittiset asiakkaat, väliaikainen vedenjakelu ja poikkeustilanteiden viestintä</v>
      </c>
      <c r="G53" s="8" t="str">
        <f>IF(ISBLANK(Turvallinen_ja_toimintavarma!R51),"Otsikkorivi",Turvallinen_ja_toimintavarma!R51)</f>
        <v>3.8 On suunniteltu ja käyttöönotettavissa vaihtoehtoiset tiedon- ja toiminnanhallinnan sekä sisäisen viestinnän menetelmät, mikäli internet ja/tai normaalit tietoliikenneyhteydet eivät toimi.</v>
      </c>
      <c r="H53" s="1" t="str">
        <f>IF(ISBLANK(Turvallinen_ja_toimintavarma!S51),"",Turvallinen_ja_toimintavarma!S51)</f>
        <v/>
      </c>
    </row>
    <row r="54" spans="1:8" x14ac:dyDescent="0.25">
      <c r="A54" s="1" t="str">
        <f>Turvallinen_ja_toimintavarma!I52</f>
        <v>Ei kuulu</v>
      </c>
      <c r="B54" s="1" t="str">
        <f>Turvallinen_ja_toimintavarma!P52</f>
        <v/>
      </c>
      <c r="C54" s="1" t="str">
        <f t="shared" si="0"/>
        <v>Ei</v>
      </c>
      <c r="D54" s="1" t="str">
        <f>IF(Turvallinen_ja_toimintavarma!N52="x","Kyllä","Ei")</f>
        <v>Kyllä</v>
      </c>
      <c r="E54" s="1" t="str">
        <f>IF(ISBLANK(Turvallinen_ja_toimintavarma!K52),"_Otsikkorivi",Turvallinen_ja_toimintavarma!K52)</f>
        <v>Turvallinen ja toimintavarma</v>
      </c>
      <c r="F54" s="1" t="str">
        <f>Turvallinen_ja_toimintavarma!L52</f>
        <v>3. Kriittiset asiakkaat, väliaikainen vedenjakelu ja poikkeustilanteiden viestintä</v>
      </c>
      <c r="G54" s="8" t="str">
        <f>IF(ISBLANK(Turvallinen_ja_toimintavarma!R52),"Otsikkorivi",Turvallinen_ja_toimintavarma!R52)</f>
        <v>3.9 Putkirikkojen määrä &lt; 4 kpl/100 km/vuosi</v>
      </c>
      <c r="H54" s="1" t="str">
        <f>IF(ISBLANK(Turvallinen_ja_toimintavarma!S52),"",Turvallinen_ja_toimintavarma!S52)</f>
        <v/>
      </c>
    </row>
    <row r="55" spans="1:8" x14ac:dyDescent="0.25">
      <c r="A55" s="1" t="str">
        <f>Turvallinen_ja_toimintavarma!I53</f>
        <v>Ei kuulu</v>
      </c>
      <c r="B55" s="1" t="str">
        <f>Turvallinen_ja_toimintavarma!P53</f>
        <v/>
      </c>
      <c r="C55" s="1" t="str">
        <f t="shared" si="0"/>
        <v>Ei</v>
      </c>
      <c r="D55" s="1" t="str">
        <f>IF(Turvallinen_ja_toimintavarma!N53="x","Kyllä","Ei")</f>
        <v>Kyllä</v>
      </c>
      <c r="E55" s="1" t="str">
        <f>IF(ISBLANK(Turvallinen_ja_toimintavarma!K53),"_Otsikkorivi",Turvallinen_ja_toimintavarma!K53)</f>
        <v>Turvallinen ja toimintavarma</v>
      </c>
      <c r="F55" s="1" t="str">
        <f>Turvallinen_ja_toimintavarma!L53</f>
        <v>3. Kriittiset asiakkaat, väliaikainen vedenjakelu ja poikkeustilanteiden viestintä</v>
      </c>
      <c r="G55" s="8" t="str">
        <f>IF(ISBLANK(Turvallinen_ja_toimintavarma!R53),"Otsikkorivi",Turvallinen_ja_toimintavarma!R53)</f>
        <v>3.10 Laskuttamattoman talousveden osuus &lt; 15 % (1-4)</v>
      </c>
      <c r="H55" s="1" t="str">
        <f>IF(ISBLANK(Turvallinen_ja_toimintavarma!S53),"",Turvallinen_ja_toimintavarma!S53)</f>
        <v/>
      </c>
    </row>
    <row r="56" spans="1:8" x14ac:dyDescent="0.25">
      <c r="A56" s="1" t="str">
        <f>Turvallinen_ja_toimintavarma!I54</f>
        <v>Ei kuulu</v>
      </c>
      <c r="B56" s="1" t="str">
        <f>Turvallinen_ja_toimintavarma!P54</f>
        <v/>
      </c>
      <c r="C56" s="1" t="str">
        <f t="shared" si="0"/>
        <v>Ei</v>
      </c>
      <c r="D56" s="1" t="str">
        <f>IF(Turvallinen_ja_toimintavarma!N54="x","Kyllä","Ei")</f>
        <v>Kyllä</v>
      </c>
      <c r="E56" s="1" t="str">
        <f>IF(ISBLANK(Turvallinen_ja_toimintavarma!K54),"_Otsikkorivi",Turvallinen_ja_toimintavarma!K54)</f>
        <v>Turvallinen ja toimintavarma</v>
      </c>
      <c r="F56" s="1" t="str">
        <f>Turvallinen_ja_toimintavarma!L54</f>
        <v>3. Kriittiset asiakkaat, väliaikainen vedenjakelu ja poikkeustilanteiden viestintä</v>
      </c>
      <c r="G56" s="8" t="str">
        <f>IF(ISBLANK(Turvallinen_ja_toimintavarma!R54),"Otsikkorivi",Turvallinen_ja_toimintavarma!R54)</f>
        <v>3.11 Erilaisten häiriötilanteiden viestintä on suunniteltu, ohjeistettu ja sitä harjoitellaan. Yhteystiedot pidetään ajan tasalla.</v>
      </c>
      <c r="H56" s="1" t="str">
        <f>IF(ISBLANK(Turvallinen_ja_toimintavarma!S54),"",Turvallinen_ja_toimintavarma!S54)</f>
        <v/>
      </c>
    </row>
    <row r="57" spans="1:8" ht="30" x14ac:dyDescent="0.25">
      <c r="A57" s="1" t="str">
        <f>Turvallinen_ja_toimintavarma!I55</f>
        <v>Ei kuulu</v>
      </c>
      <c r="B57" s="1" t="str">
        <f>Turvallinen_ja_toimintavarma!P55</f>
        <v/>
      </c>
      <c r="C57" s="1" t="str">
        <f t="shared" si="0"/>
        <v>Ei</v>
      </c>
      <c r="D57" s="1" t="str">
        <f>IF(Turvallinen_ja_toimintavarma!N55="x","Kyllä","Ei")</f>
        <v>Kyllä</v>
      </c>
      <c r="E57" s="1" t="str">
        <f>IF(ISBLANK(Turvallinen_ja_toimintavarma!K55),"_Otsikkorivi",Turvallinen_ja_toimintavarma!K55)</f>
        <v>Turvallinen ja toimintavarma</v>
      </c>
      <c r="F57" s="1" t="str">
        <f>Turvallinen_ja_toimintavarma!L55</f>
        <v>3. Kriittiset asiakkaat, väliaikainen vedenjakelu ja poikkeustilanteiden viestintä</v>
      </c>
      <c r="G57" s="8" t="str">
        <f>IF(ISBLANK(Turvallinen_ja_toimintavarma!R55),"Otsikkorivi",Turvallinen_ja_toimintavarma!R55)</f>
        <v>3.12 Kriittisten asiakkaiden kanssa on käyty neuvottelu vedensaannin turvaamisesta ja tarpeellisten toimenpiteiden määrittely on tehty esim. erillisellä sopimuksella tai kriittisiä asiakkaita ei ole.</v>
      </c>
      <c r="H57" s="1" t="str">
        <f>IF(ISBLANK(Turvallinen_ja_toimintavarma!S55),"",Turvallinen_ja_toimintavarma!S55)</f>
        <v/>
      </c>
    </row>
    <row r="58" spans="1:8" x14ac:dyDescent="0.25">
      <c r="A58" s="1" t="str">
        <f>Turvallinen_ja_toimintavarma!I56</f>
        <v>Ei kuulu</v>
      </c>
      <c r="B58" s="1" t="str">
        <f>Turvallinen_ja_toimintavarma!P56</f>
        <v/>
      </c>
      <c r="C58" s="1" t="str">
        <f t="shared" si="0"/>
        <v>Ei</v>
      </c>
      <c r="D58" s="1" t="str">
        <f>IF(Turvallinen_ja_toimintavarma!N56="x","Kyllä","Ei")</f>
        <v>Ei</v>
      </c>
      <c r="E58" s="1" t="str">
        <f>IF(ISBLANK(Turvallinen_ja_toimintavarma!K56),"_Otsikkorivi",Turvallinen_ja_toimintavarma!K56)</f>
        <v>Turvallinen ja toimintavarma</v>
      </c>
      <c r="F58" s="1" t="str">
        <f>Turvallinen_ja_toimintavarma!L56</f>
        <v>_Otsikkorivi</v>
      </c>
      <c r="G58" s="8" t="str">
        <f>IF(ISBLANK(Turvallinen_ja_toimintavarma!R56),"Otsikkorivi",Turvallinen_ja_toimintavarma!R56)</f>
        <v>4. Kemikaalit, varaosat ja kriittiset palvelut</v>
      </c>
      <c r="H58" s="1" t="str">
        <f>IF(ISBLANK(Turvallinen_ja_toimintavarma!S56),"",Turvallinen_ja_toimintavarma!S56)</f>
        <v/>
      </c>
    </row>
    <row r="59" spans="1:8" x14ac:dyDescent="0.25">
      <c r="A59" s="1" t="str">
        <f>Turvallinen_ja_toimintavarma!I57</f>
        <v>Ei kuulu</v>
      </c>
      <c r="B59" s="1" t="str">
        <f>Turvallinen_ja_toimintavarma!P57</f>
        <v/>
      </c>
      <c r="C59" s="1" t="str">
        <f t="shared" si="0"/>
        <v>Ei</v>
      </c>
      <c r="D59" s="1" t="str">
        <f>IF(Turvallinen_ja_toimintavarma!N57="x","Kyllä","Ei")</f>
        <v>Kyllä</v>
      </c>
      <c r="E59" s="1" t="str">
        <f>IF(ISBLANK(Turvallinen_ja_toimintavarma!K57),"_Otsikkorivi",Turvallinen_ja_toimintavarma!K57)</f>
        <v>Turvallinen ja toimintavarma</v>
      </c>
      <c r="F59" s="1" t="str">
        <f>Turvallinen_ja_toimintavarma!L57</f>
        <v>4. Kemikaalit, varaosat ja kriittiset palvelut</v>
      </c>
      <c r="G59" s="8" t="str">
        <f>IF(ISBLANK(Turvallinen_ja_toimintavarma!R57),"Otsikkorivi",Turvallinen_ja_toimintavarma!R57)</f>
        <v xml:space="preserve">4.1 Vesihuoltolaitoksen kriittiset materiaalit (kemikaalit, varaosat, yms) on tunnistettu. </v>
      </c>
      <c r="H59" s="1" t="str">
        <f>IF(ISBLANK(Turvallinen_ja_toimintavarma!S57),"",Turvallinen_ja_toimintavarma!S57)</f>
        <v/>
      </c>
    </row>
    <row r="60" spans="1:8" x14ac:dyDescent="0.25">
      <c r="A60" s="1" t="str">
        <f>Turvallinen_ja_toimintavarma!I58</f>
        <v>Ei kuulu</v>
      </c>
      <c r="B60" s="1" t="str">
        <f>Turvallinen_ja_toimintavarma!P58</f>
        <v/>
      </c>
      <c r="C60" s="1" t="str">
        <f t="shared" si="0"/>
        <v>Ei</v>
      </c>
      <c r="D60" s="1" t="str">
        <f>IF(Turvallinen_ja_toimintavarma!N58="x","Kyllä","Ei")</f>
        <v>Kyllä</v>
      </c>
      <c r="E60" s="1" t="str">
        <f>IF(ISBLANK(Turvallinen_ja_toimintavarma!K58),"_Otsikkorivi",Turvallinen_ja_toimintavarma!K58)</f>
        <v>Turvallinen ja toimintavarma</v>
      </c>
      <c r="F60" s="1" t="str">
        <f>Turvallinen_ja_toimintavarma!L58</f>
        <v>4. Kemikaalit, varaosat ja kriittiset palvelut</v>
      </c>
      <c r="G60" s="8" t="str">
        <f>IF(ISBLANK(Turvallinen_ja_toimintavarma!R58),"Otsikkorivi",Turvallinen_ja_toimintavarma!R58)</f>
        <v>4.2 Kriittisten materiaalien riittävä varastokapasiteetti ja saatavuus on määritetty ja järjestetty.</v>
      </c>
      <c r="H60" s="1" t="str">
        <f>IF(ISBLANK(Turvallinen_ja_toimintavarma!S58),"",Turvallinen_ja_toimintavarma!S58)</f>
        <v/>
      </c>
    </row>
    <row r="61" spans="1:8" x14ac:dyDescent="0.25">
      <c r="A61" s="1" t="str">
        <f>Turvallinen_ja_toimintavarma!I59</f>
        <v>Ei kuulu</v>
      </c>
      <c r="B61" s="1" t="str">
        <f>Turvallinen_ja_toimintavarma!P59</f>
        <v/>
      </c>
      <c r="C61" s="1" t="str">
        <f t="shared" si="0"/>
        <v>Ei</v>
      </c>
      <c r="D61" s="1" t="str">
        <f>IF(Turvallinen_ja_toimintavarma!N59="x","Kyllä","Ei")</f>
        <v>Kyllä</v>
      </c>
      <c r="E61" s="1" t="str">
        <f>IF(ISBLANK(Turvallinen_ja_toimintavarma!K59),"_Otsikkorivi",Turvallinen_ja_toimintavarma!K59)</f>
        <v>Turvallinen ja toimintavarma</v>
      </c>
      <c r="F61" s="1" t="str">
        <f>Turvallinen_ja_toimintavarma!L59</f>
        <v>4. Kemikaalit, varaosat ja kriittiset palvelut</v>
      </c>
      <c r="G61" s="8" t="str">
        <f>IF(ISBLANK(Turvallinen_ja_toimintavarma!R59),"Otsikkorivi",Turvallinen_ja_toimintavarma!R59)</f>
        <v xml:space="preserve">4.3 Toimittajien kanssa on neuvoteltu jatkuvuudenhallinnasta. </v>
      </c>
      <c r="H61" s="1" t="str">
        <f>IF(ISBLANK(Turvallinen_ja_toimintavarma!S59),"",Turvallinen_ja_toimintavarma!S59)</f>
        <v/>
      </c>
    </row>
    <row r="62" spans="1:8" x14ac:dyDescent="0.25">
      <c r="A62" s="1" t="str">
        <f>Turvallinen_ja_toimintavarma!I60</f>
        <v>Ei kuulu</v>
      </c>
      <c r="B62" s="1" t="str">
        <f>Turvallinen_ja_toimintavarma!P60</f>
        <v/>
      </c>
      <c r="C62" s="1" t="str">
        <f t="shared" si="0"/>
        <v>Ei</v>
      </c>
      <c r="D62" s="1" t="str">
        <f>IF(Turvallinen_ja_toimintavarma!N60="x","Kyllä","Ei")</f>
        <v>Kyllä</v>
      </c>
      <c r="E62" s="1" t="str">
        <f>IF(ISBLANK(Turvallinen_ja_toimintavarma!K60),"_Otsikkorivi",Turvallinen_ja_toimintavarma!K60)</f>
        <v>Turvallinen ja toimintavarma</v>
      </c>
      <c r="F62" s="1" t="str">
        <f>Turvallinen_ja_toimintavarma!L60</f>
        <v>4. Kemikaalit, varaosat ja kriittiset palvelut</v>
      </c>
      <c r="G62" s="8" t="str">
        <f>IF(ISBLANK(Turvallinen_ja_toimintavarma!R60),"Otsikkorivi",Turvallinen_ja_toimintavarma!R60)</f>
        <v xml:space="preserve">4.4 Kriittisten materiaalien saanti on otettu huomioon sopimuksissa (esim. SOPIVA-sopimuslausekkeet). </v>
      </c>
      <c r="H62" s="1" t="str">
        <f>IF(ISBLANK(Turvallinen_ja_toimintavarma!S60),"",Turvallinen_ja_toimintavarma!S60)</f>
        <v/>
      </c>
    </row>
    <row r="63" spans="1:8" ht="45" x14ac:dyDescent="0.25">
      <c r="A63" s="1" t="str">
        <f>Turvallinen_ja_toimintavarma!I61</f>
        <v>Ei kuulu</v>
      </c>
      <c r="B63" s="1" t="str">
        <f>Turvallinen_ja_toimintavarma!P61</f>
        <v/>
      </c>
      <c r="C63" s="1" t="str">
        <f t="shared" si="0"/>
        <v>Ei</v>
      </c>
      <c r="D63" s="1" t="str">
        <f>IF(Turvallinen_ja_toimintavarma!N61="x","Kyllä","Ei")</f>
        <v>Kyllä</v>
      </c>
      <c r="E63" s="1" t="str">
        <f>IF(ISBLANK(Turvallinen_ja_toimintavarma!K61),"_Otsikkorivi",Turvallinen_ja_toimintavarma!K61)</f>
        <v>Turvallinen ja toimintavarma</v>
      </c>
      <c r="F63" s="1" t="str">
        <f>Turvallinen_ja_toimintavarma!L61</f>
        <v>4. Kemikaalit, varaosat ja kriittiset palvelut</v>
      </c>
      <c r="G63" s="8" t="str">
        <f>IF(ISBLANK(Turvallinen_ja_toimintavarma!R61),"Otsikkorivi",Turvallinen_ja_toimintavarma!R61)</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63" s="1" t="str">
        <f>IF(ISBLANK(Turvallinen_ja_toimintavarma!S61),"",Turvallinen_ja_toimintavarma!S61)</f>
        <v/>
      </c>
    </row>
    <row r="64" spans="1:8" x14ac:dyDescent="0.25">
      <c r="A64" s="1" t="str">
        <f>Turvallinen_ja_toimintavarma!I62</f>
        <v>Ei kuulu</v>
      </c>
      <c r="B64" s="1" t="str">
        <f>Turvallinen_ja_toimintavarma!P62</f>
        <v/>
      </c>
      <c r="C64" s="1" t="str">
        <f t="shared" si="0"/>
        <v>Ei</v>
      </c>
      <c r="D64" s="1" t="str">
        <f>IF(Turvallinen_ja_toimintavarma!N62="x","Kyllä","Ei")</f>
        <v>Kyllä</v>
      </c>
      <c r="E64" s="1" t="str">
        <f>IF(ISBLANK(Turvallinen_ja_toimintavarma!K62),"_Otsikkorivi",Turvallinen_ja_toimintavarma!K62)</f>
        <v>Turvallinen ja toimintavarma</v>
      </c>
      <c r="F64" s="1" t="str">
        <f>Turvallinen_ja_toimintavarma!L62</f>
        <v>4. Kemikaalit, varaosat ja kriittiset palvelut</v>
      </c>
      <c r="G64" s="8" t="str">
        <f>IF(ISBLANK(Turvallinen_ja_toimintavarma!R62),"Otsikkorivi",Turvallinen_ja_toimintavarma!R62)</f>
        <v>4.6 Vesihuoltolaitoksen kriittiset palvelut (perustoiminnan ylläpitämisen edellyttämät jatkuvat palvelut, esim. logistiikka) on tunnistettu.</v>
      </c>
      <c r="H64" s="1" t="str">
        <f>IF(ISBLANK(Turvallinen_ja_toimintavarma!S62),"",Turvallinen_ja_toimintavarma!S62)</f>
        <v/>
      </c>
    </row>
    <row r="65" spans="1:8" x14ac:dyDescent="0.25">
      <c r="A65" s="1" t="str">
        <f>Turvallinen_ja_toimintavarma!I63</f>
        <v>Ei kuulu</v>
      </c>
      <c r="B65" s="1" t="str">
        <f>Turvallinen_ja_toimintavarma!P63</f>
        <v/>
      </c>
      <c r="C65" s="1" t="str">
        <f t="shared" si="0"/>
        <v>Ei</v>
      </c>
      <c r="D65" s="1" t="str">
        <f>IF(Turvallinen_ja_toimintavarma!N63="x","Kyllä","Ei")</f>
        <v>Kyllä</v>
      </c>
      <c r="E65" s="1" t="str">
        <f>IF(ISBLANK(Turvallinen_ja_toimintavarma!K63),"_Otsikkorivi",Turvallinen_ja_toimintavarma!K63)</f>
        <v>Turvallinen ja toimintavarma</v>
      </c>
      <c r="F65" s="1" t="str">
        <f>Turvallinen_ja_toimintavarma!L63</f>
        <v>4. Kemikaalit, varaosat ja kriittiset palvelut</v>
      </c>
      <c r="G65" s="8" t="str">
        <f>IF(ISBLANK(Turvallinen_ja_toimintavarma!R63),"Otsikkorivi",Turvallinen_ja_toimintavarma!R63)</f>
        <v>4.7 Vesihuoltolaitoksen kriittisten palveluiden riittävä saatavuus on määritetty ja varmistettu.</v>
      </c>
      <c r="H65" s="1" t="str">
        <f>IF(ISBLANK(Turvallinen_ja_toimintavarma!S63),"",Turvallinen_ja_toimintavarma!S63)</f>
        <v/>
      </c>
    </row>
    <row r="66" spans="1:8" x14ac:dyDescent="0.25">
      <c r="A66" s="1" t="str">
        <f>Turvallinen_ja_toimintavarma!I64</f>
        <v>Ei kuulu</v>
      </c>
      <c r="B66" s="1" t="str">
        <f>Turvallinen_ja_toimintavarma!P64</f>
        <v/>
      </c>
      <c r="C66" s="1" t="str">
        <f t="shared" si="0"/>
        <v>Ei</v>
      </c>
      <c r="D66" s="1" t="str">
        <f>IF(Turvallinen_ja_toimintavarma!N64="x","Kyllä","Ei")</f>
        <v>Kyllä</v>
      </c>
      <c r="E66" s="1" t="str">
        <f>IF(ISBLANK(Turvallinen_ja_toimintavarma!K64),"_Otsikkorivi",Turvallinen_ja_toimintavarma!K64)</f>
        <v>Turvallinen ja toimintavarma</v>
      </c>
      <c r="F66" s="1" t="str">
        <f>Turvallinen_ja_toimintavarma!L64</f>
        <v>4. Kemikaalit, varaosat ja kriittiset palvelut</v>
      </c>
      <c r="G66" s="8" t="str">
        <f>IF(ISBLANK(Turvallinen_ja_toimintavarma!R64),"Otsikkorivi",Turvallinen_ja_toimintavarma!R64)</f>
        <v>4.8 Palvelutarjoajien kanssa on neuvoteltu jatkuvuudenhallinnasta. (esim. VAP-varaukset)</v>
      </c>
      <c r="H66" s="1" t="str">
        <f>IF(ISBLANK(Turvallinen_ja_toimintavarma!S64),"",Turvallinen_ja_toimintavarma!S64)</f>
        <v/>
      </c>
    </row>
    <row r="67" spans="1:8" x14ac:dyDescent="0.25">
      <c r="A67" s="1" t="str">
        <f>Turvallinen_ja_toimintavarma!I65</f>
        <v>Ei kuulu</v>
      </c>
      <c r="B67" s="1" t="str">
        <f>Turvallinen_ja_toimintavarma!P65</f>
        <v/>
      </c>
      <c r="C67" s="1" t="str">
        <f t="shared" si="0"/>
        <v>Ei</v>
      </c>
      <c r="D67" s="1" t="str">
        <f>IF(Turvallinen_ja_toimintavarma!N65="x","Kyllä","Ei")</f>
        <v>Kyllä</v>
      </c>
      <c r="E67" s="1" t="str">
        <f>IF(ISBLANK(Turvallinen_ja_toimintavarma!K65),"_Otsikkorivi",Turvallinen_ja_toimintavarma!K65)</f>
        <v>Turvallinen ja toimintavarma</v>
      </c>
      <c r="F67" s="1" t="str">
        <f>Turvallinen_ja_toimintavarma!L65</f>
        <v>4. Kemikaalit, varaosat ja kriittiset palvelut</v>
      </c>
      <c r="G67" s="8" t="str">
        <f>IF(ISBLANK(Turvallinen_ja_toimintavarma!R65),"Otsikkorivi",Turvallinen_ja_toimintavarma!R65)</f>
        <v>4.9 Kriittisten palvelujen saanti on otettu huomioon sopimuksissa (esim. SOPIVA-sopimuslausekkeet).</v>
      </c>
      <c r="H67" s="1" t="str">
        <f>IF(ISBLANK(Turvallinen_ja_toimintavarma!S65),"",Turvallinen_ja_toimintavarma!S65)</f>
        <v/>
      </c>
    </row>
    <row r="68" spans="1:8" x14ac:dyDescent="0.25">
      <c r="A68" s="1" t="e">
        <f>Turvallinen_ja_toimintavarma!#REF!</f>
        <v>#REF!</v>
      </c>
      <c r="B68" s="1" t="e">
        <f>Turvallinen_ja_toimintavarma!#REF!</f>
        <v>#REF!</v>
      </c>
      <c r="C68" s="1" t="e">
        <f>IF(AND(A68="Kuuluu",H68="Ei",B68&lt;&gt;"Extra"),"Kyllä","Ei")</f>
        <v>#REF!</v>
      </c>
      <c r="D68" s="1" t="str">
        <f>IF(Kustannustehokas_ja_organisoitu!N5="x","Kyllä","Ei")</f>
        <v>Ei</v>
      </c>
      <c r="E68" s="1" t="str">
        <f>IF(ISBLANK(Kustannustehokas_ja_organisoitu!K5),"_Otsikkorivi",Kustannustehokas_ja_organisoitu!K5)</f>
        <v>Kustannustehokas ja organisoitu</v>
      </c>
      <c r="F68" s="1" t="str">
        <f>Kustannustehokas_ja_organisoitu!L5</f>
        <v>_Otsikkorivi</v>
      </c>
      <c r="G68" s="8" t="str">
        <f>IF(ISBLANK(Kustannustehokas_ja_organisoitu!R5),"Otsikkorivi",Kustannustehokas_ja_organisoitu!R5)</f>
        <v>5. Laitoksella on riittävät henkilöstöresurssit ja ammattitaitoinen henkilökunta, ja varallaolo on suunniteltu</v>
      </c>
      <c r="H68" s="1" t="str">
        <f>IF(ISBLANK(Kustannustehokas_ja_organisoitu!S5),"",Kustannustehokas_ja_organisoitu!S5)</f>
        <v/>
      </c>
    </row>
    <row r="69" spans="1:8" x14ac:dyDescent="0.25">
      <c r="A69" s="1" t="str">
        <f>Kustannustehokas_ja_organisoitu!I6</f>
        <v>Ei kuulu</v>
      </c>
      <c r="B69" s="1" t="str">
        <f>Kustannustehokas_ja_organisoitu!P6</f>
        <v/>
      </c>
      <c r="C69" s="1" t="str">
        <f t="shared" si="0"/>
        <v>Ei</v>
      </c>
      <c r="D69" s="1" t="str">
        <f>IF(Kustannustehokas_ja_organisoitu!N6="x","Kyllä","Ei")</f>
        <v>Ei</v>
      </c>
      <c r="E69" s="1" t="str">
        <f>IF(ISBLANK(Kustannustehokas_ja_organisoitu!K6),"_Otsikkorivi",Kustannustehokas_ja_organisoitu!K6)</f>
        <v>Kustannustehokas ja organisoitu</v>
      </c>
      <c r="F69" s="1" t="str">
        <f>Kustannustehokas_ja_organisoitu!L6</f>
        <v>5. Laitoksella on riittävät henkilöstöresurssit ja ammattitaitoinen henkilökunta, ja varallaolo on suunniteltu</v>
      </c>
      <c r="G69" s="8" t="str">
        <f>IF(ISBLANK(Kustannustehokas_ja_organisoitu!R6),"Otsikkorivi",Kustannustehokas_ja_organisoitu!R6)</f>
        <v>5.1 Henkilöstöllä on mahdollisuus kouluttautua ja työnantaja järjestää koulutusta havaitun tarpeen mukaan säännöllisesti.</v>
      </c>
      <c r="H69" s="1" t="str">
        <f>IF(ISBLANK(Kustannustehokas_ja_organisoitu!S6),"",Kustannustehokas_ja_organisoitu!S6)</f>
        <v/>
      </c>
    </row>
    <row r="70" spans="1:8" ht="30" x14ac:dyDescent="0.25">
      <c r="A70" s="1" t="str">
        <f>Kustannustehokas_ja_organisoitu!I7</f>
        <v>Ei kuulu</v>
      </c>
      <c r="B70" s="1" t="str">
        <f>Kustannustehokas_ja_organisoitu!P7</f>
        <v/>
      </c>
      <c r="C70" s="1" t="str">
        <f t="shared" ref="C70:C109" si="1">IF(AND(A70="Kuuluu",H70="Ei",B70&lt;&gt;"Extra"),"Kyllä","Ei")</f>
        <v>Ei</v>
      </c>
      <c r="D70" s="1" t="str">
        <f>IF(Kustannustehokas_ja_organisoitu!N7="x","Kyllä","Ei")</f>
        <v>Kyllä</v>
      </c>
      <c r="E70" s="1" t="str">
        <f>IF(ISBLANK(Kustannustehokas_ja_organisoitu!K7),"_Otsikkorivi",Kustannustehokas_ja_organisoitu!K7)</f>
        <v>Kustannustehokas ja organisoitu</v>
      </c>
      <c r="F70" s="1" t="str">
        <f>Kustannustehokas_ja_organisoitu!L7</f>
        <v>5. Laitoksella on riittävät henkilöstöresurssit ja ammattitaitoinen henkilökunta, ja varallaolo on suunniteltu</v>
      </c>
      <c r="G70" s="8" t="str">
        <f>IF(ISBLANK(Kustannustehokas_ja_organisoitu!R7),"Otsikkorivi",Kustannustehokas_ja_organisoitu!R7)</f>
        <v>5.2 Vesihuoltolaitoksella on varallaolojärjestelmä, joka turvaa laitoksen operatiivisen toiminnan 24/7. Työajan ulkopuolisen ajan johtamisjärjestelyt on sovittu ja ohjeistettu. Hälytysyhteystieto on olemassa.</v>
      </c>
      <c r="H70" s="1" t="str">
        <f>IF(ISBLANK(Kustannustehokas_ja_organisoitu!S7),"",Kustannustehokas_ja_organisoitu!S7)</f>
        <v/>
      </c>
    </row>
    <row r="71" spans="1:8" ht="30" x14ac:dyDescent="0.25">
      <c r="A71" s="1" t="str">
        <f>Kustannustehokas_ja_organisoitu!I8</f>
        <v>Ei kuulu</v>
      </c>
      <c r="B71" s="1" t="str">
        <f>Kustannustehokas_ja_organisoitu!P8</f>
        <v/>
      </c>
      <c r="C71" s="1" t="str">
        <f t="shared" si="1"/>
        <v>Ei</v>
      </c>
      <c r="D71" s="1" t="str">
        <f>IF(Kustannustehokas_ja_organisoitu!N8="x","Kyllä","Ei")</f>
        <v>Kyllä</v>
      </c>
      <c r="E71" s="1" t="str">
        <f>IF(ISBLANK(Kustannustehokas_ja_organisoitu!K8),"_Otsikkorivi",Kustannustehokas_ja_organisoitu!K8)</f>
        <v>Kustannustehokas ja organisoitu</v>
      </c>
      <c r="F71" s="1" t="str">
        <f>Kustannustehokas_ja_organisoitu!L8</f>
        <v>5. Laitoksella on riittävät henkilöstöresurssit ja ammattitaitoinen henkilökunta, ja varallaolo on suunniteltu</v>
      </c>
      <c r="G71" s="8" t="str">
        <f>IF(ISBLANK(Kustannustehokas_ja_organisoitu!R8),"Otsikkorivi",Kustannustehokas_ja_organisoitu!R8)</f>
        <v>5.3 Henkilökunta pystyy huolehtimaan kaikista operatiiviseen toimintaan liittyvistä kriittisistä toiminnoista itsenäisesti. TAI Vesihuoltolaitoksella on palvelusopimukset kriittisten toimintojen osalta.</v>
      </c>
      <c r="H71" s="1" t="str">
        <f>IF(ISBLANK(Kustannustehokas_ja_organisoitu!S8),"",Kustannustehokas_ja_organisoitu!S8)</f>
        <v/>
      </c>
    </row>
    <row r="72" spans="1:8" ht="30" x14ac:dyDescent="0.25">
      <c r="A72" s="1" t="str">
        <f>Kustannustehokas_ja_organisoitu!I9</f>
        <v>Ei kuulu</v>
      </c>
      <c r="B72" s="1" t="str">
        <f>Kustannustehokas_ja_organisoitu!P9</f>
        <v/>
      </c>
      <c r="C72" s="1" t="str">
        <f t="shared" si="1"/>
        <v>Ei</v>
      </c>
      <c r="D72" s="1" t="str">
        <f>IF(Kustannustehokas_ja_organisoitu!N9="x","Kyllä","Ei")</f>
        <v>Kyllä</v>
      </c>
      <c r="E72" s="1" t="str">
        <f>IF(ISBLANK(Kustannustehokas_ja_organisoitu!K9),"_Otsikkorivi",Kustannustehokas_ja_organisoitu!K9)</f>
        <v>Kustannustehokas ja organisoitu</v>
      </c>
      <c r="F72" s="1" t="str">
        <f>Kustannustehokas_ja_organisoitu!L9</f>
        <v>5. Laitoksella on riittävät henkilöstöresurssit ja ammattitaitoinen henkilökunta, ja varallaolo on suunniteltu</v>
      </c>
      <c r="G72" s="8" t="str">
        <f>IF(ISBLANK(Kustannustehokas_ja_organisoitu!R9),"Otsikkorivi",Kustannustehokas_ja_organisoitu!R9)</f>
        <v xml:space="preserve">5.4 Henkilöstölle on laadittu laitoksen omat osaamistasovaatimukset. Osaamistasomäärityksessä voidaan hyödyntää esim. Vesihuoltolaitosten osaamiskriteerit -hankkeen osaamiskartoitustyökalua. </v>
      </c>
      <c r="H72" s="1" t="str">
        <f>IF(ISBLANK(Kustannustehokas_ja_organisoitu!S9),"",Kustannustehokas_ja_organisoitu!S9)</f>
        <v/>
      </c>
    </row>
    <row r="73" spans="1:8" ht="30" x14ac:dyDescent="0.25">
      <c r="A73" s="1" t="str">
        <f>Kustannustehokas_ja_organisoitu!I10</f>
        <v>Ei kuulu</v>
      </c>
      <c r="B73" s="1" t="str">
        <f>Kustannustehokas_ja_organisoitu!P10</f>
        <v/>
      </c>
      <c r="C73" s="1" t="str">
        <f t="shared" si="1"/>
        <v>Ei</v>
      </c>
      <c r="D73" s="1" t="str">
        <f>IF(Kustannustehokas_ja_organisoitu!N10="x","Kyllä","Ei")</f>
        <v>Kyllä</v>
      </c>
      <c r="E73" s="1" t="str">
        <f>IF(ISBLANK(Kustannustehokas_ja_organisoitu!K10),"_Otsikkorivi",Kustannustehokas_ja_organisoitu!K10)</f>
        <v>Kustannustehokas ja organisoitu</v>
      </c>
      <c r="F73" s="1" t="str">
        <f>Kustannustehokas_ja_organisoitu!L10</f>
        <v>5. Laitoksella on riittävät henkilöstöresurssit ja ammattitaitoinen henkilökunta, ja varallaolo on suunniteltu</v>
      </c>
      <c r="G73" s="8" t="str">
        <f>IF(ISBLANK(Kustannustehokas_ja_organisoitu!R10),"Otsikkorivi",Kustannustehokas_ja_organisoitu!R10)</f>
        <v>5.5 Avainhenkilöt eli perustoiminnon ylläpitämisessä kriittiset henkilöt on tunnistettu ja nimetty. Avainhenkilöille on nimetty varahenkilöt, jotka on perehdytetty työnkuvaan.</v>
      </c>
      <c r="H73" s="1" t="str">
        <f>IF(ISBLANK(Kustannustehokas_ja_organisoitu!S10),"",Kustannustehokas_ja_organisoitu!S10)</f>
        <v/>
      </c>
    </row>
    <row r="74" spans="1:8" ht="30" x14ac:dyDescent="0.25">
      <c r="A74" s="1" t="str">
        <f>Kustannustehokas_ja_organisoitu!I11</f>
        <v>Ei kuulu</v>
      </c>
      <c r="B74" s="1" t="str">
        <f>Kustannustehokas_ja_organisoitu!P11</f>
        <v/>
      </c>
      <c r="C74" s="1" t="str">
        <f t="shared" si="1"/>
        <v>Ei</v>
      </c>
      <c r="D74" s="1" t="str">
        <f>IF(Kustannustehokas_ja_organisoitu!N11="x","Kyllä","Ei")</f>
        <v>Ei</v>
      </c>
      <c r="E74" s="1" t="str">
        <f>IF(ISBLANK(Kustannustehokas_ja_organisoitu!K11),"_Otsikkorivi",Kustannustehokas_ja_organisoitu!K11)</f>
        <v>Kustannustehokas ja organisoitu</v>
      </c>
      <c r="F74" s="1" t="str">
        <f>Kustannustehokas_ja_organisoitu!L11</f>
        <v>5. Laitoksella on riittävät henkilöstöresurssit ja ammattitaitoinen henkilökunta, ja varallaolo on suunniteltu</v>
      </c>
      <c r="G74" s="8" t="str">
        <f>IF(ISBLANK(Kustannustehokas_ja_organisoitu!R11),"Otsikkorivi",Kustannustehokas_ja_organisoitu!R11)</f>
        <v>5.6 Vesihuoltolaitoksella on henkilökuntaa riittävästi, jotta omat tai ostopalvelut pystytään hoitamaan ennalta laaditun aikataulun mukaisesti (materiaalit, suunnittelu, rakentaminen, kunnossapito) ja hankkeita ei tarvitse viivyttää henkilöresurssien takia.</v>
      </c>
      <c r="H74" s="1" t="str">
        <f>IF(ISBLANK(Kustannustehokas_ja_organisoitu!S11),"",Kustannustehokas_ja_organisoitu!S11)</f>
        <v/>
      </c>
    </row>
    <row r="75" spans="1:8" x14ac:dyDescent="0.25">
      <c r="A75" s="1" t="str">
        <f>Kustannustehokas_ja_organisoitu!I12</f>
        <v>Ei kuulu</v>
      </c>
      <c r="B75" s="1" t="str">
        <f>Kustannustehokas_ja_organisoitu!P12</f>
        <v/>
      </c>
      <c r="C75" s="1" t="str">
        <f t="shared" si="1"/>
        <v>Ei</v>
      </c>
      <c r="D75" s="1" t="str">
        <f>IF(Kustannustehokas_ja_organisoitu!N12="x","Kyllä","Ei")</f>
        <v>Ei</v>
      </c>
      <c r="E75" s="1" t="str">
        <f>IF(ISBLANK(Kustannustehokas_ja_organisoitu!K12),"_Otsikkorivi",Kustannustehokas_ja_organisoitu!K12)</f>
        <v>Kustannustehokas ja organisoitu</v>
      </c>
      <c r="F75" s="1" t="str">
        <f>Kustannustehokas_ja_organisoitu!L12</f>
        <v>_Otsikkorivi</v>
      </c>
      <c r="G75" s="8" t="str">
        <f>IF(ISBLANK(Kustannustehokas_ja_organisoitu!R12),"Otsikkorivi",Kustannustehokas_ja_organisoitu!R12)</f>
        <v>6. Omaisuuden hallinta, operointi ja kunnossapito on suunnitelmallista</v>
      </c>
      <c r="H75" s="1" t="str">
        <f>IF(ISBLANK(Kustannustehokas_ja_organisoitu!S12),"",Kustannustehokas_ja_organisoitu!S12)</f>
        <v/>
      </c>
    </row>
    <row r="76" spans="1:8" ht="45" x14ac:dyDescent="0.25">
      <c r="A76" s="1" t="str">
        <f>Kustannustehokas_ja_organisoitu!I13</f>
        <v>Ei kuulu</v>
      </c>
      <c r="B76" s="1" t="str">
        <f>Kustannustehokas_ja_organisoitu!P13</f>
        <v/>
      </c>
      <c r="C76" s="1" t="str">
        <f t="shared" si="1"/>
        <v>Ei</v>
      </c>
      <c r="D76" s="1" t="str">
        <f>IF(Kustannustehokas_ja_organisoitu!N13="x","Kyllä","Ei")</f>
        <v>Ei</v>
      </c>
      <c r="E76" s="1" t="str">
        <f>IF(ISBLANK(Kustannustehokas_ja_organisoitu!K13),"_Otsikkorivi",Kustannustehokas_ja_organisoitu!K13)</f>
        <v>Kustannustehokas ja organisoitu</v>
      </c>
      <c r="F76" s="1" t="str">
        <f>Kustannustehokas_ja_organisoitu!L13</f>
        <v>6. Omaisuuden hallinta, operointi ja kunnossapito on suunnitelmallista</v>
      </c>
      <c r="G76" s="8" t="str">
        <f>IF(ISBLANK(Kustannustehokas_ja_organisoitu!R13),"Otsikkorivi",Kustannustehokas_ja_organisoitu!R13)</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6" s="1" t="str">
        <f>IF(ISBLANK(Kustannustehokas_ja_organisoitu!S13),"",Kustannustehokas_ja_organisoitu!S13)</f>
        <v/>
      </c>
    </row>
    <row r="77" spans="1:8" ht="45" x14ac:dyDescent="0.25">
      <c r="A77" s="1" t="str">
        <f>Kustannustehokas_ja_organisoitu!I14</f>
        <v>Ei kuulu</v>
      </c>
      <c r="B77" s="1" t="str">
        <f>Kustannustehokas_ja_organisoitu!P14</f>
        <v/>
      </c>
      <c r="C77" s="1" t="str">
        <f t="shared" si="1"/>
        <v>Ei</v>
      </c>
      <c r="D77" s="1" t="str">
        <f>IF(Kustannustehokas_ja_organisoitu!N14="x","Kyllä","Ei")</f>
        <v>Ei</v>
      </c>
      <c r="E77" s="1" t="str">
        <f>IF(ISBLANK(Kustannustehokas_ja_organisoitu!K14),"_Otsikkorivi",Kustannustehokas_ja_organisoitu!K14)</f>
        <v>Kustannustehokas ja organisoitu</v>
      </c>
      <c r="F77" s="1" t="str">
        <f>Kustannustehokas_ja_organisoitu!L14</f>
        <v>6. Omaisuuden hallinta, operointi ja kunnossapito on suunnitelmallista</v>
      </c>
      <c r="G77" s="8" t="str">
        <f>IF(ISBLANK(Kustannustehokas_ja_organisoitu!R14),"Otsikkorivi",Kustannustehokas_ja_organisoitu!R14)</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7" s="1" t="str">
        <f>IF(ISBLANK(Kustannustehokas_ja_organisoitu!S14),"",Kustannustehokas_ja_organisoitu!S14)</f>
        <v/>
      </c>
    </row>
    <row r="78" spans="1:8" x14ac:dyDescent="0.25">
      <c r="A78" s="1" t="str">
        <f>Kustannustehokas_ja_organisoitu!I15</f>
        <v>Ei kuulu</v>
      </c>
      <c r="B78" s="1" t="str">
        <f>Kustannustehokas_ja_organisoitu!P15</f>
        <v/>
      </c>
      <c r="C78" s="1" t="str">
        <f t="shared" si="1"/>
        <v>Ei</v>
      </c>
      <c r="D78" s="1" t="str">
        <f>IF(Kustannustehokas_ja_organisoitu!N15="x","Kyllä","Ei")</f>
        <v>Ei</v>
      </c>
      <c r="E78" s="1" t="str">
        <f>IF(ISBLANK(Kustannustehokas_ja_organisoitu!K15),"_Otsikkorivi",Kustannustehokas_ja_organisoitu!K15)</f>
        <v>Kustannustehokas ja organisoitu</v>
      </c>
      <c r="F78" s="1" t="str">
        <f>Kustannustehokas_ja_organisoitu!L15</f>
        <v>6. Omaisuuden hallinta, operointi ja kunnossapito on suunnitelmallista</v>
      </c>
      <c r="G78" s="8" t="str">
        <f>IF(ISBLANK(Kustannustehokas_ja_organisoitu!R15),"Otsikkorivi",Kustannustehokas_ja_organisoitu!R15)</f>
        <v>6.2 Vesihuoltolaitoksen laitosten ja verkostojen automaatiojärjestelmistä kerätään luotettavaa tietoa sähköiseen muotoon.</v>
      </c>
      <c r="H78" s="1" t="str">
        <f>IF(ISBLANK(Kustannustehokas_ja_organisoitu!S15),"",Kustannustehokas_ja_organisoitu!S15)</f>
        <v/>
      </c>
    </row>
    <row r="79" spans="1:8" ht="30" x14ac:dyDescent="0.25">
      <c r="A79" s="1" t="str">
        <f>Kustannustehokas_ja_organisoitu!I16</f>
        <v>Ei kuulu</v>
      </c>
      <c r="B79" s="1" t="str">
        <f>Kustannustehokas_ja_organisoitu!P16</f>
        <v/>
      </c>
      <c r="C79" s="1" t="str">
        <f t="shared" si="1"/>
        <v>Ei</v>
      </c>
      <c r="D79" s="1" t="str">
        <f>IF(Kustannustehokas_ja_organisoitu!N16="x","Kyllä","Ei")</f>
        <v>Ei</v>
      </c>
      <c r="E79" s="1" t="str">
        <f>IF(ISBLANK(Kustannustehokas_ja_organisoitu!K16),"_Otsikkorivi",Kustannustehokas_ja_organisoitu!K16)</f>
        <v>Kustannustehokas ja organisoitu</v>
      </c>
      <c r="F79" s="1" t="str">
        <f>Kustannustehokas_ja_organisoitu!L16</f>
        <v>6. Omaisuuden hallinta, operointi ja kunnossapito on suunnitelmallista</v>
      </c>
      <c r="G79" s="8" t="str">
        <f>IF(ISBLANK(Kustannustehokas_ja_organisoitu!R16),"Otsikkorivi",Kustannustehokas_ja_organisoitu!R16)</f>
        <v>6.2 Vesihuoltolaitoksen laitoksen ja verkostojen automaatiojärjestelmistä saadaan ja kerätään jatkuvaa, ajantasaista ja luotettavaa tietoa sähköiseen muotoon.</v>
      </c>
      <c r="H79" s="1" t="str">
        <f>IF(ISBLANK(Kustannustehokas_ja_organisoitu!S16),"",Kustannustehokas_ja_organisoitu!S16)</f>
        <v/>
      </c>
    </row>
    <row r="80" spans="1:8" ht="45" x14ac:dyDescent="0.25">
      <c r="A80" s="1" t="str">
        <f>Kustannustehokas_ja_organisoitu!I17</f>
        <v>Ei kuulu</v>
      </c>
      <c r="B80" s="1" t="str">
        <f>Kustannustehokas_ja_organisoitu!P17</f>
        <v/>
      </c>
      <c r="C80" s="1" t="str">
        <f t="shared" si="1"/>
        <v>Ei</v>
      </c>
      <c r="D80" s="1" t="str">
        <f>IF(Kustannustehokas_ja_organisoitu!N17="x","Kyllä","Ei")</f>
        <v>Kyllä</v>
      </c>
      <c r="E80" s="1" t="str">
        <f>IF(ISBLANK(Kustannustehokas_ja_organisoitu!K17),"_Otsikkorivi",Kustannustehokas_ja_organisoitu!K17)</f>
        <v>Kustannustehokas ja organisoitu</v>
      </c>
      <c r="F80" s="1" t="str">
        <f>Kustannustehokas_ja_organisoitu!L17</f>
        <v>6. Omaisuuden hallinta, operointi ja kunnossapito on suunnitelmallista</v>
      </c>
      <c r="G80" s="8" t="str">
        <f>IF(ISBLANK(Kustannustehokas_ja_organisoitu!R17),"Otsikkorivi",Kustannustehokas_ja_organisoitu!R17)</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80" s="1" t="str">
        <f>IF(ISBLANK(Kustannustehokas_ja_organisoitu!S17),"",Kustannustehokas_ja_organisoitu!S17)</f>
        <v/>
      </c>
    </row>
    <row r="81" spans="1:8" x14ac:dyDescent="0.25">
      <c r="A81" s="1" t="str">
        <f>Kustannustehokas_ja_organisoitu!I18</f>
        <v>Ei kuulu</v>
      </c>
      <c r="B81" s="1" t="str">
        <f>Kustannustehokas_ja_organisoitu!P18</f>
        <v/>
      </c>
      <c r="C81" s="1" t="str">
        <f t="shared" si="1"/>
        <v>Ei</v>
      </c>
      <c r="D81" s="1" t="str">
        <f>IF(Kustannustehokas_ja_organisoitu!N18="x","Kyllä","Ei")</f>
        <v>Ei</v>
      </c>
      <c r="E81" s="1" t="str">
        <f>IF(ISBLANK(Kustannustehokas_ja_organisoitu!K18),"_Otsikkorivi",Kustannustehokas_ja_organisoitu!K18)</f>
        <v>Kustannustehokas ja organisoitu</v>
      </c>
      <c r="F81" s="1" t="str">
        <f>Kustannustehokas_ja_organisoitu!L18</f>
        <v>6. Omaisuuden hallinta, operointi ja kunnossapito on suunnitelmallista</v>
      </c>
      <c r="G81" s="8" t="str">
        <f>IF(ISBLANK(Kustannustehokas_ja_organisoitu!R18),"Otsikkorivi",Kustannustehokas_ja_organisoitu!R18)</f>
        <v>6.4 Vesihuoltolaitos on määrittänyt toiminnalleen KPI-mittarit (key performance indicator), joita seurataan.</v>
      </c>
      <c r="H81" s="1" t="str">
        <f>IF(ISBLANK(Kustannustehokas_ja_organisoitu!S18),"",Kustannustehokas_ja_organisoitu!S18)</f>
        <v/>
      </c>
    </row>
    <row r="82" spans="1:8" ht="30" x14ac:dyDescent="0.25">
      <c r="A82" s="1" t="str">
        <f>Kustannustehokas_ja_organisoitu!I19</f>
        <v>Ei kuulu</v>
      </c>
      <c r="B82" s="1" t="str">
        <f>Kustannustehokas_ja_organisoitu!P19</f>
        <v/>
      </c>
      <c r="C82" s="1" t="str">
        <f t="shared" si="1"/>
        <v>Ei</v>
      </c>
      <c r="D82" s="1" t="str">
        <f>IF(Kustannustehokas_ja_organisoitu!N19="x","Kyllä","Ei")</f>
        <v>Ei</v>
      </c>
      <c r="E82" s="1" t="str">
        <f>IF(ISBLANK(Kustannustehokas_ja_organisoitu!K19),"_Otsikkorivi",Kustannustehokas_ja_organisoitu!K19)</f>
        <v>Kustannustehokas ja organisoitu</v>
      </c>
      <c r="F82" s="1" t="str">
        <f>Kustannustehokas_ja_organisoitu!L19</f>
        <v>6. Omaisuuden hallinta, operointi ja kunnossapito on suunnitelmallista</v>
      </c>
      <c r="G82" s="8" t="str">
        <f>IF(ISBLANK(Kustannustehokas_ja_organisoitu!R19),"Otsikkorivi",Kustannustehokas_ja_organisoitu!R19)</f>
        <v>6.5 Vesihuoltolaitoksen laitoksista ja verkostoista kerätään järjestelmällisesti tietoa suunnittelun, rakentamisen, saneerauksen ja kunnossapidon osalta.</v>
      </c>
      <c r="H82" s="1" t="str">
        <f>IF(ISBLANK(Kustannustehokas_ja_organisoitu!S19),"",Kustannustehokas_ja_organisoitu!S19)</f>
        <v/>
      </c>
    </row>
    <row r="83" spans="1:8" x14ac:dyDescent="0.25">
      <c r="A83" s="1" t="str">
        <f>Kustannustehokas_ja_organisoitu!I20</f>
        <v>Ei kuulu</v>
      </c>
      <c r="B83" s="1" t="str">
        <f>Kustannustehokas_ja_organisoitu!P20</f>
        <v/>
      </c>
      <c r="C83" s="1" t="str">
        <f t="shared" si="1"/>
        <v>Ei</v>
      </c>
      <c r="D83" s="1" t="str">
        <f>IF(Kustannustehokas_ja_organisoitu!N20="x","Kyllä","Ei")</f>
        <v>Ei</v>
      </c>
      <c r="E83" s="1" t="str">
        <f>IF(ISBLANK(Kustannustehokas_ja_organisoitu!K20),"_Otsikkorivi",Kustannustehokas_ja_organisoitu!K20)</f>
        <v>Kustannustehokas ja organisoitu</v>
      </c>
      <c r="F83" s="1" t="str">
        <f>Kustannustehokas_ja_organisoitu!L20</f>
        <v>6. Omaisuuden hallinta, operointi ja kunnossapito on suunnitelmallista</v>
      </c>
      <c r="G83" s="8" t="str">
        <f>IF(ISBLANK(Kustannustehokas_ja_organisoitu!R20),"Otsikkorivi",Kustannustehokas_ja_organisoitu!R20)</f>
        <v>6.6 Vesihuoltolaitos käyttää sähköistä kunnossapitojärjestelmää.</v>
      </c>
      <c r="H83" s="1" t="str">
        <f>IF(ISBLANK(Kustannustehokas_ja_organisoitu!S20),"",Kustannustehokas_ja_organisoitu!S20)</f>
        <v/>
      </c>
    </row>
    <row r="84" spans="1:8" x14ac:dyDescent="0.25">
      <c r="A84" s="1" t="str">
        <f>Kustannustehokas_ja_organisoitu!I21</f>
        <v>Ei kuulu</v>
      </c>
      <c r="B84" s="1" t="str">
        <f>Kustannustehokas_ja_organisoitu!P21</f>
        <v/>
      </c>
      <c r="C84" s="1" t="str">
        <f t="shared" si="1"/>
        <v>Ei</v>
      </c>
      <c r="D84" s="1" t="str">
        <f>IF(Kustannustehokas_ja_organisoitu!N21="x","Kyllä","Ei")</f>
        <v>Ei</v>
      </c>
      <c r="E84" s="1" t="str">
        <f>IF(ISBLANK(Kustannustehokas_ja_organisoitu!K21),"_Otsikkorivi",Kustannustehokas_ja_organisoitu!K21)</f>
        <v>Kustannustehokas ja organisoitu</v>
      </c>
      <c r="F84" s="1" t="str">
        <f>Kustannustehokas_ja_organisoitu!L21</f>
        <v>6. Omaisuuden hallinta, operointi ja kunnossapito on suunnitelmallista</v>
      </c>
      <c r="G84" s="8" t="str">
        <f>IF(ISBLANK(Kustannustehokas_ja_organisoitu!R21),"Otsikkorivi",Kustannustehokas_ja_organisoitu!R21)</f>
        <v xml:space="preserve">6.7 Vesihuoltolaitoksen vedenjakeluverkoston vuotoja mitataan ja seurataan ja vuotavuusprosentti on määritelty verkostoalueittain. </v>
      </c>
      <c r="H84" s="1" t="str">
        <f>IF(ISBLANK(Kustannustehokas_ja_organisoitu!S21),"",Kustannustehokas_ja_organisoitu!S21)</f>
        <v/>
      </c>
    </row>
    <row r="85" spans="1:8" x14ac:dyDescent="0.25">
      <c r="A85" s="1" t="str">
        <f>Kustannustehokas_ja_organisoitu!I22</f>
        <v>Ei kuulu</v>
      </c>
      <c r="B85" s="1" t="str">
        <f>Kustannustehokas_ja_organisoitu!P22</f>
        <v/>
      </c>
      <c r="C85" s="1" t="str">
        <f t="shared" si="1"/>
        <v>Ei</v>
      </c>
      <c r="D85" s="1" t="str">
        <f>IF(Kustannustehokas_ja_organisoitu!N22="x","Kyllä","Ei")</f>
        <v>Ei</v>
      </c>
      <c r="E85" s="1" t="str">
        <f>IF(ISBLANK(Kustannustehokas_ja_organisoitu!K22),"_Otsikkorivi",Kustannustehokas_ja_organisoitu!K22)</f>
        <v>Kustannustehokas ja organisoitu</v>
      </c>
      <c r="F85" s="1" t="str">
        <f>Kustannustehokas_ja_organisoitu!L22</f>
        <v>6. Omaisuuden hallinta, operointi ja kunnossapito on suunnitelmallista</v>
      </c>
      <c r="G85" s="8" t="str">
        <f>IF(ISBLANK(Kustannustehokas_ja_organisoitu!R22),"Otsikkorivi",Kustannustehokas_ja_organisoitu!R22)</f>
        <v>6.8 Vesihuoltolaitoksella on pitkän aikavälin omaisuudenhallintasuunnitelma (20 v).</v>
      </c>
      <c r="H85" s="1" t="str">
        <f>IF(ISBLANK(Kustannustehokas_ja_organisoitu!S22),"",Kustannustehokas_ja_organisoitu!S22)</f>
        <v/>
      </c>
    </row>
    <row r="86" spans="1:8" x14ac:dyDescent="0.25">
      <c r="A86" s="1" t="str">
        <f>Kustannustehokas_ja_organisoitu!I23</f>
        <v>Ei kuulu</v>
      </c>
      <c r="B86" s="1" t="str">
        <f>Kustannustehokas_ja_organisoitu!P23</f>
        <v/>
      </c>
      <c r="C86" s="1" t="str">
        <f t="shared" si="1"/>
        <v>Ei</v>
      </c>
      <c r="D86" s="1" t="str">
        <f>IF(Kustannustehokas_ja_organisoitu!N23="x","Kyllä","Ei")</f>
        <v>Ei</v>
      </c>
      <c r="E86" s="1" t="str">
        <f>IF(ISBLANK(Kustannustehokas_ja_organisoitu!K23),"_Otsikkorivi",Kustannustehokas_ja_organisoitu!K23)</f>
        <v>Kustannustehokas ja organisoitu</v>
      </c>
      <c r="F86" s="1" t="str">
        <f>Kustannustehokas_ja_organisoitu!L23</f>
        <v>6. Omaisuuden hallinta, operointi ja kunnossapito on suunnitelmallista</v>
      </c>
      <c r="G86" s="8" t="str">
        <f>IF(ISBLANK(Kustannustehokas_ja_organisoitu!R23),"Otsikkorivi",Kustannustehokas_ja_organisoitu!R23)</f>
        <v>6.9 Vesihuoltolaitoksella on käytössä auditoitu omaisuudenhallinnan johtamisjärjestelmä (esim. ISO 55000).</v>
      </c>
      <c r="H86" s="1" t="str">
        <f>IF(ISBLANK(Kustannustehokas_ja_organisoitu!S23),"",Kustannustehokas_ja_organisoitu!S23)</f>
        <v/>
      </c>
    </row>
    <row r="87" spans="1:8" ht="30" x14ac:dyDescent="0.25">
      <c r="A87" s="1" t="str">
        <f>Kustannustehokas_ja_organisoitu!I24</f>
        <v>Ei kuulu</v>
      </c>
      <c r="B87" s="1" t="str">
        <f>Kustannustehokas_ja_organisoitu!P24</f>
        <v/>
      </c>
      <c r="C87" s="1" t="str">
        <f t="shared" si="1"/>
        <v>Ei</v>
      </c>
      <c r="D87" s="1" t="str">
        <f>IF(Kustannustehokas_ja_organisoitu!N24="x","Kyllä","Ei")</f>
        <v>Ei</v>
      </c>
      <c r="E87" s="1" t="str">
        <f>IF(ISBLANK(Kustannustehokas_ja_organisoitu!K24),"_Otsikkorivi",Kustannustehokas_ja_organisoitu!K24)</f>
        <v>Kustannustehokas ja organisoitu</v>
      </c>
      <c r="F87" s="1" t="str">
        <f>Kustannustehokas_ja_organisoitu!L24</f>
        <v>6. Omaisuuden hallinta, operointi ja kunnossapito on suunnitelmallista</v>
      </c>
      <c r="G87" s="8" t="str">
        <f>IF(ISBLANK(Kustannustehokas_ja_organisoitu!R24),"Otsikkorivi",Kustannustehokas_ja_organisoitu!R24)</f>
        <v>6.10 Vesihuoltolaitoksen laitosten ja verkoston automaatiojärjestelmistä saadaan jatkuvaa, ajantasaista ja virheetöntä tietoa räätälöidysti raportoituna organisaation eri tasoille. Tietoa hyödynnetään päätöksenteossa.</v>
      </c>
      <c r="H87" s="1" t="str">
        <f>IF(ISBLANK(Kustannustehokas_ja_organisoitu!S24),"",Kustannustehokas_ja_organisoitu!S24)</f>
        <v/>
      </c>
    </row>
    <row r="88" spans="1:8" x14ac:dyDescent="0.25">
      <c r="A88" s="1" t="str">
        <f>Kustannustehokas_ja_organisoitu!I25</f>
        <v>Ei kuulu</v>
      </c>
      <c r="B88" s="1" t="str">
        <f>Kustannustehokas_ja_organisoitu!P25</f>
        <v/>
      </c>
      <c r="C88" s="1" t="str">
        <f t="shared" si="1"/>
        <v>Ei</v>
      </c>
      <c r="D88" s="1" t="str">
        <f>IF(Kustannustehokas_ja_organisoitu!N25="x","Kyllä","Ei")</f>
        <v>Ei</v>
      </c>
      <c r="E88" s="1" t="str">
        <f>IF(ISBLANK(Kustannustehokas_ja_organisoitu!K25),"_Otsikkorivi",Kustannustehokas_ja_organisoitu!K25)</f>
        <v>Kustannustehokas ja organisoitu</v>
      </c>
      <c r="F88" s="1" t="str">
        <f>Kustannustehokas_ja_organisoitu!L25</f>
        <v>_Otsikkorivi</v>
      </c>
      <c r="G88" s="8" t="str">
        <f>IF(ISBLANK(Kustannustehokas_ja_organisoitu!R25),"Otsikkorivi",Kustannustehokas_ja_organisoitu!R25)</f>
        <v>7. Johtaminen on suunniteltua ja toiminta on kannattavaa</v>
      </c>
      <c r="H88" s="1" t="str">
        <f>IF(ISBLANK(Kustannustehokas_ja_organisoitu!S25),"",Kustannustehokas_ja_organisoitu!S25)</f>
        <v/>
      </c>
    </row>
    <row r="89" spans="1:8" ht="30" x14ac:dyDescent="0.25">
      <c r="A89" s="1" t="str">
        <f>Kustannustehokas_ja_organisoitu!I26</f>
        <v>Ei kuulu</v>
      </c>
      <c r="B89" s="1" t="str">
        <f>Kustannustehokas_ja_organisoitu!P26</f>
        <v/>
      </c>
      <c r="C89" s="1" t="str">
        <f t="shared" si="1"/>
        <v>Ei</v>
      </c>
      <c r="D89" s="1" t="str">
        <f>IF(Kustannustehokas_ja_organisoitu!N26="x","Kyllä","Ei")</f>
        <v>Ei</v>
      </c>
      <c r="E89" s="1" t="str">
        <f>IF(ISBLANK(Kustannustehokas_ja_organisoitu!K26),"_Otsikkorivi",Kustannustehokas_ja_organisoitu!K26)</f>
        <v>Kustannustehokas ja organisoitu</v>
      </c>
      <c r="F89" s="1" t="str">
        <f>Kustannustehokas_ja_organisoitu!L26</f>
        <v>7. Johtaminen on suunniteltua ja toiminta on kannattavaa</v>
      </c>
      <c r="G89" s="8" t="str">
        <f>IF(ISBLANK(Kustannustehokas_ja_organisoitu!R26),"Otsikkorivi",Kustannustehokas_ja_organisoitu!R26)</f>
        <v>7.1 Vesihuoltolaitoksella on selkeä kulut ja tuotot erittelevä taloushallintajärjestelmä tai vastaava pienille laitoksille soveltuva järjestelmä luokan 1 laitoksille.</v>
      </c>
      <c r="H89" s="1" t="str">
        <f>IF(ISBLANK(Kustannustehokas_ja_organisoitu!S26),"",Kustannustehokas_ja_organisoitu!S26)</f>
        <v/>
      </c>
    </row>
    <row r="90" spans="1:8" ht="30" x14ac:dyDescent="0.25">
      <c r="A90" s="1" t="str">
        <f>Kustannustehokas_ja_organisoitu!I27</f>
        <v>Ei kuulu</v>
      </c>
      <c r="B90" s="1" t="str">
        <f>Kustannustehokas_ja_organisoitu!P27</f>
        <v/>
      </c>
      <c r="C90" s="1" t="str">
        <f t="shared" si="1"/>
        <v>Ei</v>
      </c>
      <c r="D90" s="1" t="str">
        <f>IF(Kustannustehokas_ja_organisoitu!N27="x","Kyllä","Ei")</f>
        <v>Kyllä</v>
      </c>
      <c r="E90" s="1" t="str">
        <f>IF(ISBLANK(Kustannustehokas_ja_organisoitu!K27),"_Otsikkorivi",Kustannustehokas_ja_organisoitu!K27)</f>
        <v>Kustannustehokas ja organisoitu</v>
      </c>
      <c r="F90" s="1" t="str">
        <f>Kustannustehokas_ja_organisoitu!L27</f>
        <v>7. Johtaminen on suunniteltua ja toiminta on kannattavaa</v>
      </c>
      <c r="G90" s="8" t="str">
        <f>IF(ISBLANK(Kustannustehokas_ja_organisoitu!R27),"Otsikkorivi",Kustannustehokas_ja_organisoitu!R27)</f>
        <v>7.2 Vesihuoltolaitoksella on ajantasainen pitkän aikavälin (min. 20 v) investointiohjelma, jossa on otettu huomioon vesihuollon ja kunnan tarpeet, huomioitu vesihuollon kehittämissuunnitelma sekä toimintavarmuus.</v>
      </c>
      <c r="H90" s="1" t="str">
        <f>IF(ISBLANK(Kustannustehokas_ja_organisoitu!S27),"",Kustannustehokas_ja_organisoitu!S27)</f>
        <v/>
      </c>
    </row>
    <row r="91" spans="1:8" ht="30" x14ac:dyDescent="0.25">
      <c r="A91" s="1" t="str">
        <f>Kustannustehokas_ja_organisoitu!I28</f>
        <v>Ei kuulu</v>
      </c>
      <c r="B91" s="1" t="str">
        <f>Kustannustehokas_ja_organisoitu!P28</f>
        <v/>
      </c>
      <c r="C91" s="1" t="str">
        <f t="shared" si="1"/>
        <v>Ei</v>
      </c>
      <c r="D91" s="1" t="str">
        <f>IF(Kustannustehokas_ja_organisoitu!N28="x","Kyllä","Ei")</f>
        <v>Kyllä</v>
      </c>
      <c r="E91" s="1" t="str">
        <f>IF(ISBLANK(Kustannustehokas_ja_organisoitu!K28),"_Otsikkorivi",Kustannustehokas_ja_organisoitu!K28)</f>
        <v>Kustannustehokas ja organisoitu</v>
      </c>
      <c r="F91" s="1" t="str">
        <f>Kustannustehokas_ja_organisoitu!L28</f>
        <v>7. Johtaminen on suunniteltua ja toiminta on kannattavaa</v>
      </c>
      <c r="G91" s="8" t="str">
        <f>IF(ISBLANK(Kustannustehokas_ja_organisoitu!R28),"Otsikkorivi",Kustannustehokas_ja_organisoitu!R28)</f>
        <v>7.3 Vesihuoltolaitoksen perimät maksut ovat sellaiset, että pitkällä aikavälillä (20 v.) voidaan kattaa vesihuoltolaitoksen suunnitellut uus- ja korjausinvestoinnit ja käyttökustannukset.</v>
      </c>
      <c r="H91" s="1" t="str">
        <f>IF(ISBLANK(Kustannustehokas_ja_organisoitu!S28),"",Kustannustehokas_ja_organisoitu!S28)</f>
        <v/>
      </c>
    </row>
    <row r="92" spans="1:8" x14ac:dyDescent="0.25">
      <c r="A92" s="1" t="str">
        <f>Kustannustehokas_ja_organisoitu!I29</f>
        <v>Ei kuulu</v>
      </c>
      <c r="B92" s="1" t="str">
        <f>Kustannustehokas_ja_organisoitu!P29</f>
        <v/>
      </c>
      <c r="C92" s="1" t="str">
        <f t="shared" si="1"/>
        <v>Ei</v>
      </c>
      <c r="D92" s="1" t="str">
        <f>IF(Kustannustehokas_ja_organisoitu!N29="x","Kyllä","Ei")</f>
        <v>Ei</v>
      </c>
      <c r="E92" s="1" t="str">
        <f>IF(ISBLANK(Kustannustehokas_ja_organisoitu!K29),"_Otsikkorivi",Kustannustehokas_ja_organisoitu!K29)</f>
        <v>Kustannustehokas ja organisoitu</v>
      </c>
      <c r="F92" s="1" t="str">
        <f>Kustannustehokas_ja_organisoitu!L29</f>
        <v>7. Johtaminen on suunniteltua ja toiminta on kannattavaa</v>
      </c>
      <c r="G92" s="8" t="str">
        <f>IF(ISBLANK(Kustannustehokas_ja_organisoitu!R29),"Otsikkorivi",Kustannustehokas_ja_organisoitu!R29)</f>
        <v>7.4 Vesihuoltolaitoksella on laadunhallintajärjestelmä tai toiminta on muuten järjestelmällistä ja kirjallisesti/sähköisesti dokumentoitua.</v>
      </c>
      <c r="H92" s="1" t="str">
        <f>IF(ISBLANK(Kustannustehokas_ja_organisoitu!S29),"",Kustannustehokas_ja_organisoitu!S29)</f>
        <v/>
      </c>
    </row>
    <row r="93" spans="1:8" ht="30" x14ac:dyDescent="0.25">
      <c r="A93" s="1" t="str">
        <f>Kustannustehokas_ja_organisoitu!I30</f>
        <v>Ei kuulu</v>
      </c>
      <c r="B93" s="1" t="str">
        <f>Kustannustehokas_ja_organisoitu!P30</f>
        <v/>
      </c>
      <c r="C93" s="1" t="str">
        <f t="shared" si="1"/>
        <v>Ei</v>
      </c>
      <c r="D93" s="1" t="str">
        <f>IF(Kustannustehokas_ja_organisoitu!N30="x","Kyllä","Ei")</f>
        <v>Kyllä</v>
      </c>
      <c r="E93" s="1" t="str">
        <f>IF(ISBLANK(Kustannustehokas_ja_organisoitu!K30),"_Otsikkorivi",Kustannustehokas_ja_organisoitu!K30)</f>
        <v>Kustannustehokas ja organisoitu</v>
      </c>
      <c r="F93" s="1" t="str">
        <f>Kustannustehokas_ja_organisoitu!L30</f>
        <v>7. Johtaminen on suunniteltua ja toiminta on kannattavaa</v>
      </c>
      <c r="G93" s="8" t="str">
        <f>IF(ISBLANK(Kustannustehokas_ja_organisoitu!R30),"Otsikkorivi",Kustannustehokas_ja_organisoitu!R30)</f>
        <v>7.5 Vesihuoltolaitoksen tietojen hallinta on suunniteltua ja järjestelmällistä (esim. tiedonhallintasuunnitelma ja järjestelmä) eli varmistetaan tietojen turvallinen luokittelu, käsittely ja säilytys.</v>
      </c>
      <c r="H93" s="1" t="str">
        <f>IF(ISBLANK(Kustannustehokas_ja_organisoitu!S30),"",Kustannustehokas_ja_organisoitu!S30)</f>
        <v/>
      </c>
    </row>
    <row r="94" spans="1:8" ht="30" x14ac:dyDescent="0.25">
      <c r="A94" s="1" t="str">
        <f>Kustannustehokas_ja_organisoitu!I31</f>
        <v>Ei kuulu</v>
      </c>
      <c r="B94" s="1" t="str">
        <f>Kustannustehokas_ja_organisoitu!P31</f>
        <v/>
      </c>
      <c r="C94" s="1" t="str">
        <f t="shared" si="1"/>
        <v>Ei</v>
      </c>
      <c r="D94" s="1" t="str">
        <f>IF(Kustannustehokas_ja_organisoitu!N31="x","Kyllä","Ei")</f>
        <v>Ei</v>
      </c>
      <c r="E94" s="1" t="str">
        <f>IF(ISBLANK(Kustannustehokas_ja_organisoitu!K31),"_Otsikkorivi",Kustannustehokas_ja_organisoitu!K31)</f>
        <v>Kustannustehokas ja organisoitu</v>
      </c>
      <c r="F94" s="1" t="str">
        <f>Kustannustehokas_ja_organisoitu!L31</f>
        <v>7. Johtaminen on suunniteltua ja toiminta on kannattavaa</v>
      </c>
      <c r="G94" s="8" t="str">
        <f>IF(ISBLANK(Kustannustehokas_ja_organisoitu!R31),"Otsikkorivi",Kustannustehokas_ja_organisoitu!R31)</f>
        <v>7.6 Vesihuoltolaitoksen toiminnasta kerätään järjestelmällisesti tietoa operatiivisen toiminnan (=päivittäisen toiminnan johtamisen) osalta.</v>
      </c>
      <c r="H94" s="1" t="str">
        <f>IF(ISBLANK(Kustannustehokas_ja_organisoitu!S31),"",Kustannustehokas_ja_organisoitu!S31)</f>
        <v/>
      </c>
    </row>
    <row r="95" spans="1:8" x14ac:dyDescent="0.25">
      <c r="A95" s="1" t="str">
        <f>Kustannustehokas_ja_organisoitu!I32</f>
        <v>Ei kuulu</v>
      </c>
      <c r="B95" s="1" t="str">
        <f>Kustannustehokas_ja_organisoitu!P32</f>
        <v/>
      </c>
      <c r="C95" s="1" t="str">
        <f t="shared" si="1"/>
        <v>Ei</v>
      </c>
      <c r="D95" s="1" t="str">
        <f>IF(Kustannustehokas_ja_organisoitu!N32="x","Kyllä","Ei")</f>
        <v>Ei</v>
      </c>
      <c r="E95" s="1" t="str">
        <f>IF(ISBLANK(Kustannustehokas_ja_organisoitu!K32),"_Otsikkorivi",Kustannustehokas_ja_organisoitu!K32)</f>
        <v>Kustannustehokas ja organisoitu</v>
      </c>
      <c r="F95" s="1" t="str">
        <f>Kustannustehokas_ja_organisoitu!L32</f>
        <v>7. Johtaminen on suunniteltua ja toiminta on kannattavaa</v>
      </c>
      <c r="G95" s="8" t="str">
        <f>IF(ISBLANK(Kustannustehokas_ja_organisoitu!R32),"Otsikkorivi",Kustannustehokas_ja_organisoitu!R32)</f>
        <v>7.6 Vesihuoltolaitoksen operatiivisesta toiminnasta kerätään järjestelmällisesti oleellista tietoa, jota hyödynnetään johtamisessa</v>
      </c>
      <c r="H95" s="1" t="str">
        <f>IF(ISBLANK(Kustannustehokas_ja_organisoitu!S32),"",Kustannustehokas_ja_organisoitu!S32)</f>
        <v/>
      </c>
    </row>
    <row r="96" spans="1:8" ht="30" x14ac:dyDescent="0.25">
      <c r="A96" s="1" t="str">
        <f>Kustannustehokas_ja_organisoitu!I33</f>
        <v>Ei kuulu</v>
      </c>
      <c r="B96" s="1" t="str">
        <f>Kustannustehokas_ja_organisoitu!P33</f>
        <v/>
      </c>
      <c r="C96" s="1" t="str">
        <f t="shared" si="1"/>
        <v>Ei</v>
      </c>
      <c r="D96" s="1" t="str">
        <f>IF(Kustannustehokas_ja_organisoitu!N33="x","Kyllä","Ei")</f>
        <v>Ei</v>
      </c>
      <c r="E96" s="1" t="str">
        <f>IF(ISBLANK(Kustannustehokas_ja_organisoitu!K33),"_Otsikkorivi",Kustannustehokas_ja_organisoitu!K33)</f>
        <v>Kustannustehokas ja organisoitu</v>
      </c>
      <c r="F96" s="1" t="str">
        <f>Kustannustehokas_ja_organisoitu!L33</f>
        <v>7. Johtaminen on suunniteltua ja toiminta on kannattavaa</v>
      </c>
      <c r="G96" s="8" t="str">
        <f>IF(ISBLANK(Kustannustehokas_ja_organisoitu!R33),"Otsikkorivi",Kustannustehokas_ja_organisoitu!R33)</f>
        <v>7.7 Vesihuoltolaitoksella on käytössä operatiivisen toiminnan johtamisjärjestelmä (sisältää esim. vastuunjaon ja tehtäväkuvaukset) ja jatkuvan parantamisen toimintatapa.</v>
      </c>
      <c r="H96" s="1" t="str">
        <f>IF(ISBLANK(Kustannustehokas_ja_organisoitu!S33),"",Kustannustehokas_ja_organisoitu!S33)</f>
        <v/>
      </c>
    </row>
    <row r="97" spans="1:8" x14ac:dyDescent="0.25">
      <c r="A97" s="1" t="str">
        <f>Kustannustehokas_ja_organisoitu!I34</f>
        <v>Ei kuulu</v>
      </c>
      <c r="B97" s="1" t="str">
        <f>Kustannustehokas_ja_organisoitu!P34</f>
        <v/>
      </c>
      <c r="C97" s="1" t="str">
        <f t="shared" si="1"/>
        <v>Ei</v>
      </c>
      <c r="D97" s="1" t="str">
        <f>IF(Kustannustehokas_ja_organisoitu!N34="x","Kyllä","Ei")</f>
        <v>Ei</v>
      </c>
      <c r="E97" s="1" t="str">
        <f>IF(ISBLANK(Kustannustehokas_ja_organisoitu!K34),"_Otsikkorivi",Kustannustehokas_ja_organisoitu!K34)</f>
        <v>Kustannustehokas ja organisoitu</v>
      </c>
      <c r="F97" s="1" t="str">
        <f>Kustannustehokas_ja_organisoitu!L34</f>
        <v>7. Johtaminen on suunniteltua ja toiminta on kannattavaa</v>
      </c>
      <c r="G97" s="8" t="str">
        <f>IF(ISBLANK(Kustannustehokas_ja_organisoitu!R34),"Otsikkorivi",Kustannustehokas_ja_organisoitu!R34)</f>
        <v>7.8 Vesihuoltolaitos on kartoittanut tarpeen erisuuruisille perus- ja liittymismaksuille eri alueilla ja ottanut ne käyttöön niiden soveltuessa.</v>
      </c>
      <c r="H97" s="1" t="str">
        <f>IF(ISBLANK(Kustannustehokas_ja_organisoitu!S34),"",Kustannustehokas_ja_organisoitu!S34)</f>
        <v/>
      </c>
    </row>
    <row r="98" spans="1:8" ht="30" x14ac:dyDescent="0.25">
      <c r="A98" s="1" t="str">
        <f>Kustannustehokas_ja_organisoitu!I35</f>
        <v>Ei kuulu</v>
      </c>
      <c r="B98" s="1" t="str">
        <f>Kustannustehokas_ja_organisoitu!P35</f>
        <v/>
      </c>
      <c r="C98" s="1" t="str">
        <f t="shared" si="1"/>
        <v>Ei</v>
      </c>
      <c r="D98" s="1" t="str">
        <f>IF(Kustannustehokas_ja_organisoitu!N35="x","Kyllä","Ei")</f>
        <v>Ei</v>
      </c>
      <c r="E98" s="1" t="str">
        <f>IF(ISBLANK(Kustannustehokas_ja_organisoitu!K35),"_Otsikkorivi",Kustannustehokas_ja_organisoitu!K35)</f>
        <v>Kustannustehokas ja organisoitu</v>
      </c>
      <c r="F98" s="1" t="str">
        <f>Kustannustehokas_ja_organisoitu!L35</f>
        <v>7. Johtaminen on suunniteltua ja toiminta on kannattavaa</v>
      </c>
      <c r="G98" s="8" t="str">
        <f>IF(ISBLANK(Kustannustehokas_ja_organisoitu!R35),"Otsikkorivi",Kustannustehokas_ja_organisoitu!R35)</f>
        <v>7.9 Vesihuoltolaitoksen henkilöstöllä ja johdolla on tulostavoitteet ja tulosmittarit tai muu määritelty ja mitattava ajuri, jota seurataan ja hyödynnetään toiminnan kehittämisessä.</v>
      </c>
      <c r="H98" s="1" t="str">
        <f>IF(ISBLANK(Kustannustehokas_ja_organisoitu!S35),"",Kustannustehokas_ja_organisoitu!S35)</f>
        <v/>
      </c>
    </row>
    <row r="99" spans="1:8" ht="30" x14ac:dyDescent="0.25">
      <c r="A99" s="1" t="str">
        <f>Kustannustehokas_ja_organisoitu!I36</f>
        <v>Ei kuulu</v>
      </c>
      <c r="B99" s="1" t="str">
        <f>Kustannustehokas_ja_organisoitu!P36</f>
        <v/>
      </c>
      <c r="C99" s="1" t="str">
        <f t="shared" si="1"/>
        <v>Ei</v>
      </c>
      <c r="D99" s="1" t="str">
        <f>IF(Kustannustehokas_ja_organisoitu!N36="x","Kyllä","Ei")</f>
        <v>Ei</v>
      </c>
      <c r="E99" s="1" t="str">
        <f>IF(ISBLANK(Kustannustehokas_ja_organisoitu!K36),"_Otsikkorivi",Kustannustehokas_ja_organisoitu!K36)</f>
        <v>Kustannustehokas ja organisoitu</v>
      </c>
      <c r="F99" s="1" t="str">
        <f>Kustannustehokas_ja_organisoitu!L36</f>
        <v>7. Johtaminen on suunniteltua ja toiminta on kannattavaa</v>
      </c>
      <c r="G99" s="8" t="str">
        <f>IF(ISBLANK(Kustannustehokas_ja_organisoitu!R36),"Otsikkorivi",Kustannustehokas_ja_organisoitu!R36)</f>
        <v>7.10 Vesihuoltolaitoksella on käytössä auditoidut ISO 9001-laatujärjestelmä sekä ISO 14001 -ympäristöjärjestelmä tai muu vastaava järjestelmä.</v>
      </c>
      <c r="H99" s="1" t="str">
        <f>IF(ISBLANK(Kustannustehokas_ja_organisoitu!S36),"",Kustannustehokas_ja_organisoitu!S36)</f>
        <v/>
      </c>
    </row>
    <row r="100" spans="1:8" x14ac:dyDescent="0.25">
      <c r="A100" s="1" t="str">
        <f>Kustannustehokas_ja_organisoitu!I37</f>
        <v>Ei kuulu</v>
      </c>
      <c r="B100" s="1" t="str">
        <f>Kustannustehokas_ja_organisoitu!P37</f>
        <v/>
      </c>
      <c r="C100" s="1" t="str">
        <f t="shared" si="1"/>
        <v>Ei</v>
      </c>
      <c r="D100" s="1" t="str">
        <f>IF(Kustannustehokas_ja_organisoitu!N37="x","Kyllä","Ei")</f>
        <v>Ei</v>
      </c>
      <c r="E100" s="1" t="str">
        <f>IF(ISBLANK(Kustannustehokas_ja_organisoitu!K37),"_Otsikkorivi",Kustannustehokas_ja_organisoitu!K37)</f>
        <v>Kustannustehokas ja organisoitu</v>
      </c>
      <c r="F100" s="1" t="str">
        <f>Kustannustehokas_ja_organisoitu!L37</f>
        <v>7. Johtaminen on suunniteltua ja toiminta on kannattavaa</v>
      </c>
      <c r="G100" s="8" t="str">
        <f>IF(ISBLANK(Kustannustehokas_ja_organisoitu!R37),"Otsikkorivi",Kustannustehokas_ja_organisoitu!R37)</f>
        <v>7.11 Vesihuoltolaitoksella on käytössä auditoitu ISO 45001 työterveys- ja turvallisuusjärjestelmä tai muu vastaava.</v>
      </c>
      <c r="H100" s="1" t="str">
        <f>IF(ISBLANK(Kustannustehokas_ja_organisoitu!S37),"",Kustannustehokas_ja_organisoitu!S37)</f>
        <v/>
      </c>
    </row>
    <row r="101" spans="1:8" x14ac:dyDescent="0.25">
      <c r="A101" s="1" t="str">
        <f>Kustannustehokas_ja_organisoitu!I38</f>
        <v>Ei kuulu</v>
      </c>
      <c r="B101" s="1" t="str">
        <f>Kustannustehokas_ja_organisoitu!P38</f>
        <v/>
      </c>
      <c r="C101" s="1" t="str">
        <f t="shared" si="1"/>
        <v>Ei</v>
      </c>
      <c r="D101" s="1" t="str">
        <f>IF(Kustannustehokas_ja_organisoitu!N38="x","Kyllä","Ei")</f>
        <v>Ei</v>
      </c>
      <c r="E101" s="1" t="str">
        <f>IF(ISBLANK(Kustannustehokas_ja_organisoitu!K38),"_Otsikkorivi",Kustannustehokas_ja_organisoitu!K38)</f>
        <v>Kustannustehokas ja organisoitu</v>
      </c>
      <c r="F101" s="1" t="str">
        <f>Kustannustehokas_ja_organisoitu!L38</f>
        <v>_Otsikkorivi</v>
      </c>
      <c r="G101" s="8" t="str">
        <f>IF(ISBLANK(Kustannustehokas_ja_organisoitu!R38),"Otsikkorivi",Kustannustehokas_ja_organisoitu!R38)</f>
        <v>8. Käyttötalouden hallinta ja hankinnat ovat suunniteltuja, tehostettuja ja läpinäkyviä.</v>
      </c>
      <c r="H101" s="1" t="str">
        <f>IF(ISBLANK(Kustannustehokas_ja_organisoitu!S38),"",Kustannustehokas_ja_organisoitu!S38)</f>
        <v/>
      </c>
    </row>
    <row r="102" spans="1:8" ht="30" x14ac:dyDescent="0.25">
      <c r="A102" s="1" t="str">
        <f>Kustannustehokas_ja_organisoitu!I39</f>
        <v>Ei kuulu</v>
      </c>
      <c r="B102" s="1" t="str">
        <f>Kustannustehokas_ja_organisoitu!P39</f>
        <v/>
      </c>
      <c r="C102" s="1" t="str">
        <f t="shared" si="1"/>
        <v>Ei</v>
      </c>
      <c r="D102" s="1" t="str">
        <f>IF(Kustannustehokas_ja_organisoitu!N39="x","Kyllä","Ei")</f>
        <v>Ei</v>
      </c>
      <c r="E102" s="1" t="str">
        <f>IF(ISBLANK(Kustannustehokas_ja_organisoitu!K39),"_Otsikkorivi",Kustannustehokas_ja_organisoitu!K39)</f>
        <v>Kustannustehokas ja organisoitu</v>
      </c>
      <c r="F102" s="1" t="str">
        <f>Kustannustehokas_ja_organisoitu!L39</f>
        <v>8. Käyttötalouden hallinta ja hankinnat ovat suunniteltuja, tehostettuja ja läpinäkyviä.</v>
      </c>
      <c r="G102" s="8" t="str">
        <f>IF(ISBLANK(Kustannustehokas_ja_organisoitu!R39),"Otsikkorivi",Kustannustehokas_ja_organisoitu!R39)</f>
        <v>8.1 Vesihuoltolaitoksen hyödykkeiden kulutusta seurataan. Hyödykkeellä tarkoitetaan vesilaitoksen toiminnassaan käyttämiä aineita, tarvikkeita tai palveluita, kuten esim. kemikaaleja, sähköä, rakentamispalvelua tms.</v>
      </c>
      <c r="H102" s="1" t="str">
        <f>IF(ISBLANK(Kustannustehokas_ja_organisoitu!S39),"",Kustannustehokas_ja_organisoitu!S39)</f>
        <v/>
      </c>
    </row>
    <row r="103" spans="1:8" x14ac:dyDescent="0.25">
      <c r="A103" s="1" t="str">
        <f>Kustannustehokas_ja_organisoitu!I40</f>
        <v>Ei kuulu</v>
      </c>
      <c r="B103" s="1" t="str">
        <f>Kustannustehokas_ja_organisoitu!P40</f>
        <v/>
      </c>
      <c r="C103" s="1" t="str">
        <f t="shared" si="1"/>
        <v>Ei</v>
      </c>
      <c r="D103" s="1" t="str">
        <f>IF(Kustannustehokas_ja_organisoitu!N40="x","Kyllä","Ei")</f>
        <v>Ei</v>
      </c>
      <c r="E103" s="1" t="str">
        <f>IF(ISBLANK(Kustannustehokas_ja_organisoitu!K40),"_Otsikkorivi",Kustannustehokas_ja_organisoitu!K40)</f>
        <v>Kustannustehokas ja organisoitu</v>
      </c>
      <c r="F103" s="1" t="str">
        <f>Kustannustehokas_ja_organisoitu!L40</f>
        <v>8. Käyttötalouden hallinta ja hankinnat ovat suunniteltuja, tehostettuja ja läpinäkyviä.</v>
      </c>
      <c r="G103" s="8" t="str">
        <f>IF(ISBLANK(Kustannustehokas_ja_organisoitu!R40),"Otsikkorivi",Kustannustehokas_ja_organisoitu!R40)</f>
        <v xml:space="preserve">8.2 Vesihuoltolaitoksen kustannuksia seurataan ja käyttötaloutta tehostetaan aktiivisesti. </v>
      </c>
      <c r="H103" s="1" t="str">
        <f>IF(ISBLANK(Kustannustehokas_ja_organisoitu!S40),"",Kustannustehokas_ja_organisoitu!S40)</f>
        <v/>
      </c>
    </row>
    <row r="104" spans="1:8" ht="30" x14ac:dyDescent="0.25">
      <c r="A104" s="1" t="str">
        <f>Kustannustehokas_ja_organisoitu!I41</f>
        <v>Ei kuulu</v>
      </c>
      <c r="B104" s="1" t="str">
        <f>Kustannustehokas_ja_organisoitu!P41</f>
        <v/>
      </c>
      <c r="C104" s="1" t="str">
        <f t="shared" si="1"/>
        <v>Ei</v>
      </c>
      <c r="D104" s="1" t="str">
        <f>IF(Kustannustehokas_ja_organisoitu!N41="x","Kyllä","Ei")</f>
        <v>Ei</v>
      </c>
      <c r="E104" s="1" t="str">
        <f>IF(ISBLANK(Kustannustehokas_ja_organisoitu!K41),"_Otsikkorivi",Kustannustehokas_ja_organisoitu!K41)</f>
        <v>Kustannustehokas ja organisoitu</v>
      </c>
      <c r="F104" s="1" t="str">
        <f>Kustannustehokas_ja_organisoitu!L41</f>
        <v>8. Käyttötalouden hallinta ja hankinnat ovat suunniteltuja, tehostettuja ja läpinäkyviä.</v>
      </c>
      <c r="G104" s="8" t="str">
        <f>IF(ISBLANK(Kustannustehokas_ja_organisoitu!R41),"Otsikkorivi",Kustannustehokas_ja_organisoitu!R41)</f>
        <v xml:space="preserve">8.3 Vesihuoltolaitoksella tai kunnalla on vesihuoltolaitosta koskevat hankintaohjeet. Hankinnoissa otetaan tarkoituksenmukaisesti huomioon laatu- ja hintakriteerit. </v>
      </c>
      <c r="H104" s="1" t="str">
        <f>IF(ISBLANK(Kustannustehokas_ja_organisoitu!S41),"",Kustannustehokas_ja_organisoitu!S41)</f>
        <v/>
      </c>
    </row>
    <row r="105" spans="1:8" ht="30" x14ac:dyDescent="0.25">
      <c r="A105" s="1" t="str">
        <f>Kustannustehokas_ja_organisoitu!I42</f>
        <v>Ei kuulu</v>
      </c>
      <c r="B105" s="1" t="str">
        <f>Kustannustehokas_ja_organisoitu!P42</f>
        <v/>
      </c>
      <c r="C105" s="1" t="str">
        <f t="shared" si="1"/>
        <v>Ei</v>
      </c>
      <c r="D105" s="1" t="str">
        <f>IF(Kustannustehokas_ja_organisoitu!N42="x","Kyllä","Ei")</f>
        <v>Ei</v>
      </c>
      <c r="E105" s="1" t="str">
        <f>IF(ISBLANK(Kustannustehokas_ja_organisoitu!K42),"_Otsikkorivi",Kustannustehokas_ja_organisoitu!K42)</f>
        <v>Kustannustehokas ja organisoitu</v>
      </c>
      <c r="F105" s="1" t="str">
        <f>Kustannustehokas_ja_organisoitu!L42</f>
        <v>8. Käyttötalouden hallinta ja hankinnat ovat suunniteltuja, tehostettuja ja läpinäkyviä.</v>
      </c>
      <c r="G105" s="8" t="str">
        <f>IF(ISBLANK(Kustannustehokas_ja_organisoitu!R42),"Otsikkorivi",Kustannustehokas_ja_organisoitu!R42)</f>
        <v>8.4 Vesihuoltolaitoksen henkilöstö on saanut koulutusta hankintojen ja palvelujen kilpailutukseen ja sopimuksiin sekä palvelujen ja toimitusten valvontaan.</v>
      </c>
      <c r="H105" s="1" t="str">
        <f>IF(ISBLANK(Kustannustehokas_ja_organisoitu!S42),"",Kustannustehokas_ja_organisoitu!S42)</f>
        <v/>
      </c>
    </row>
    <row r="106" spans="1:8" x14ac:dyDescent="0.25">
      <c r="A106" s="1" t="str">
        <f>Kustannustehokas_ja_organisoitu!I43</f>
        <v>Ei kuulu</v>
      </c>
      <c r="B106" s="1" t="str">
        <f>Kustannustehokas_ja_organisoitu!P43</f>
        <v/>
      </c>
      <c r="C106" s="1" t="str">
        <f t="shared" si="1"/>
        <v>Ei</v>
      </c>
      <c r="D106" s="1" t="str">
        <f>IF(Kustannustehokas_ja_organisoitu!N43="x","Kyllä","Ei")</f>
        <v>Ei</v>
      </c>
      <c r="E106" s="1" t="str">
        <f>IF(ISBLANK(Kustannustehokas_ja_organisoitu!K43),"_Otsikkorivi",Kustannustehokas_ja_organisoitu!K43)</f>
        <v>Kustannustehokas ja organisoitu</v>
      </c>
      <c r="F106" s="1" t="str">
        <f>Kustannustehokas_ja_organisoitu!L43</f>
        <v>8. Käyttötalouden hallinta ja hankinnat ovat suunniteltuja, tehostettuja ja läpinäkyviä.</v>
      </c>
      <c r="G106" s="8" t="str">
        <f>IF(ISBLANK(Kustannustehokas_ja_organisoitu!R43),"Otsikkorivi",Kustannustehokas_ja_organisoitu!R43)</f>
        <v xml:space="preserve">8.5 Vesihuoltolaitoksella on puitesopimukset keskeisten tavaroiden ja palveluiden hankinnan osalta. </v>
      </c>
      <c r="H106" s="1" t="str">
        <f>IF(ISBLANK(Kustannustehokas_ja_organisoitu!S43),"",Kustannustehokas_ja_organisoitu!S43)</f>
        <v/>
      </c>
    </row>
    <row r="107" spans="1:8" ht="30" x14ac:dyDescent="0.25">
      <c r="A107" s="1" t="str">
        <f>Kustannustehokas_ja_organisoitu!I44</f>
        <v>Ei kuulu</v>
      </c>
      <c r="B107" s="1" t="str">
        <f>Kustannustehokas_ja_organisoitu!P44</f>
        <v/>
      </c>
      <c r="C107" s="1" t="str">
        <f t="shared" si="1"/>
        <v>Ei</v>
      </c>
      <c r="D107" s="1" t="str">
        <f>IF(Kustannustehokas_ja_organisoitu!N44="x","Kyllä","Ei")</f>
        <v>Ei</v>
      </c>
      <c r="E107" s="1" t="str">
        <f>IF(ISBLANK(Kustannustehokas_ja_organisoitu!K44),"_Otsikkorivi",Kustannustehokas_ja_organisoitu!K44)</f>
        <v>Kustannustehokas ja organisoitu</v>
      </c>
      <c r="F107" s="1" t="str">
        <f>Kustannustehokas_ja_organisoitu!L44</f>
        <v>8. Käyttötalouden hallinta ja hankinnat ovat suunniteltuja, tehostettuja ja läpinäkyviä.</v>
      </c>
      <c r="G107" s="8" t="str">
        <f>IF(ISBLANK(Kustannustehokas_ja_organisoitu!R44),"Otsikkorivi",Kustannustehokas_ja_organisoitu!R44)</f>
        <v>8.6 Vesihuoltolaitos kerää ja käyttää tunnuslukutietoa systemaattisesti ja vertailee toimintaansa kokoluokan ja lähialueen muihin vastaaviin toimijoihin.</v>
      </c>
      <c r="H107" s="1" t="str">
        <f>IF(ISBLANK(Kustannustehokas_ja_organisoitu!S44),"",Kustannustehokas_ja_organisoitu!S44)</f>
        <v/>
      </c>
    </row>
    <row r="108" spans="1:8" ht="45" x14ac:dyDescent="0.25">
      <c r="A108" s="1" t="str">
        <f>Kustannustehokas_ja_organisoitu!I45</f>
        <v>Ei kuulu</v>
      </c>
      <c r="B108" s="1" t="str">
        <f>Kustannustehokas_ja_organisoitu!P45</f>
        <v/>
      </c>
      <c r="C108" s="1" t="str">
        <f t="shared" si="1"/>
        <v>Ei</v>
      </c>
      <c r="D108" s="1" t="str">
        <f>IF(Kustannustehokas_ja_organisoitu!N45="x","Kyllä","Ei")</f>
        <v>Ei</v>
      </c>
      <c r="E108" s="1" t="str">
        <f>IF(ISBLANK(Kustannustehokas_ja_organisoitu!K45),"_Otsikkorivi",Kustannustehokas_ja_organisoitu!K45)</f>
        <v>Kustannustehokas ja organisoitu</v>
      </c>
      <c r="F108" s="1" t="str">
        <f>Kustannustehokas_ja_organisoitu!L45</f>
        <v>8. Käyttötalouden hallinta ja hankinnat ovat suunniteltuja, tehostettuja ja läpinäkyviä.</v>
      </c>
      <c r="G108" s="8" t="str">
        <f>IF(ISBLANK(Kustannustehokas_ja_organisoitu!R45),"Otsikkorivi",Kustannustehokas_ja_organisoitu!R45)</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8" s="1" t="str">
        <f>IF(ISBLANK(Kustannustehokas_ja_organisoitu!S45),"",Kustannustehokas_ja_organisoitu!S45)</f>
        <v/>
      </c>
    </row>
    <row r="109" spans="1:8" x14ac:dyDescent="0.25">
      <c r="A109" s="1" t="str">
        <f>Kustannustehokas_ja_organisoitu!I46</f>
        <v>Ei kuulu</v>
      </c>
      <c r="B109" s="1" t="str">
        <f>Kustannustehokas_ja_organisoitu!P46</f>
        <v/>
      </c>
      <c r="C109" s="1" t="str">
        <f t="shared" si="1"/>
        <v>Ei</v>
      </c>
      <c r="D109" s="1" t="str">
        <f>IF(Kustannustehokas_ja_organisoitu!N46="x","Kyllä","Ei")</f>
        <v>Ei</v>
      </c>
      <c r="E109" s="1" t="str">
        <f>IF(ISBLANK(Kustannustehokas_ja_organisoitu!K46),"_Otsikkorivi",Kustannustehokas_ja_organisoitu!K46)</f>
        <v>Kustannustehokas ja organisoitu</v>
      </c>
      <c r="F109" s="1" t="str">
        <f>Kustannustehokas_ja_organisoitu!L46</f>
        <v>8. Käyttötalouden hallinta ja hankinnat ovat suunniteltuja, tehostettuja ja läpinäkyviä.</v>
      </c>
      <c r="G109" s="8" t="str">
        <f>IF(ISBLANK(Kustannustehokas_ja_organisoitu!R46),"Otsikkorivi",Kustannustehokas_ja_organisoitu!R46)</f>
        <v>8.8 Vesihuoltolaitoksen hankintakriteereihin sisältyvät sosiaalinen ja ympäristövastuullisuus</v>
      </c>
      <c r="H109" s="1" t="str">
        <f>IF(ISBLANK(Kustannustehokas_ja_organisoitu!S46),"",Kustannustehokas_ja_organisoitu!S46)</f>
        <v/>
      </c>
    </row>
    <row r="110" spans="1:8" x14ac:dyDescent="0.25">
      <c r="A110" s="1" t="str">
        <f>Kestävä_ja_kehittyvä!I5</f>
        <v>Ei kuulu</v>
      </c>
      <c r="B110" s="1" t="str">
        <f>Kestävä_ja_kehittyvä!P5</f>
        <v/>
      </c>
      <c r="C110" s="1" t="str">
        <f t="shared" ref="C110:C141" si="2">IF(AND(A110="Kuuluu",H110="Ei",B110&lt;&gt;"Extra"),"Kyllä","Ei")</f>
        <v>Ei</v>
      </c>
      <c r="D110" s="1" t="str">
        <f>IF(Kestävä_ja_kehittyvä!N5="x","Kyllä","Ei")</f>
        <v>Ei</v>
      </c>
      <c r="E110" s="1" t="str">
        <f>IF(ISBLANK(Kestävä_ja_kehittyvä!K5),"_Otsikkorivi",Kestävä_ja_kehittyvä!K5)</f>
        <v>Kestävä ja kehittyvä</v>
      </c>
      <c r="F110" s="1" t="str">
        <f>Kestävä_ja_kehittyvä!L5</f>
        <v>_Otsikkorivi</v>
      </c>
      <c r="G110" s="8" t="str">
        <f>IF(ISBLANK(Kestävä_ja_kehittyvä!R5),"Otsikkorivi",Kestävä_ja_kehittyvä!R5)</f>
        <v>9. Jätevesien käsittelyn ja johtamisen ympäristökuormitus minimoidaan</v>
      </c>
      <c r="H110" s="1" t="str">
        <f>IF(ISBLANK(Kestävä_ja_kehittyvä!S5),"",Kestävä_ja_kehittyvä!S5)</f>
        <v/>
      </c>
    </row>
    <row r="111" spans="1:8" x14ac:dyDescent="0.25">
      <c r="A111" s="1" t="str">
        <f>Kestävä_ja_kehittyvä!I6</f>
        <v>Ei kuulu</v>
      </c>
      <c r="B111" s="1" t="str">
        <f>Kestävä_ja_kehittyvä!P6</f>
        <v/>
      </c>
      <c r="C111" s="1" t="str">
        <f t="shared" si="2"/>
        <v>Ei</v>
      </c>
      <c r="D111" s="1" t="str">
        <f>IF(Kestävä_ja_kehittyvä!N6="x","Kyllä","Ei")</f>
        <v>Kyllä</v>
      </c>
      <c r="E111" s="1" t="str">
        <f>IF(ISBLANK(Kestävä_ja_kehittyvä!K6),"_Otsikkorivi",Kestävä_ja_kehittyvä!K6)</f>
        <v>Kestävä ja kehittyvä</v>
      </c>
      <c r="F111" s="1" t="str">
        <f>Kestävä_ja_kehittyvä!L6</f>
        <v>9. Jätevesien käsittelyn ja johtamisen ympäristökuormitus minimoidaan</v>
      </c>
      <c r="G111" s="8" t="str">
        <f>IF(ISBLANK(Kestävä_ja_kehittyvä!R6),"Otsikkorivi",Kestävä_ja_kehittyvä!R6)</f>
        <v>9.1 Jätevesiverkoston vuotovesiprosentti &lt; 30 %</v>
      </c>
      <c r="H111" s="1" t="str">
        <f>IF(ISBLANK(Kestävä_ja_kehittyvä!S6),"",Kestävä_ja_kehittyvä!S6)</f>
        <v/>
      </c>
    </row>
    <row r="112" spans="1:8" x14ac:dyDescent="0.25">
      <c r="A112" s="1" t="str">
        <f>Kestävä_ja_kehittyvä!I7</f>
        <v>Ei kuulu</v>
      </c>
      <c r="B112" s="1" t="str">
        <f>Kestävä_ja_kehittyvä!P7</f>
        <v/>
      </c>
      <c r="C112" s="1" t="str">
        <f t="shared" si="2"/>
        <v>Ei</v>
      </c>
      <c r="D112" s="1" t="str">
        <f>IF(Kestävä_ja_kehittyvä!N7="x","Kyllä","Ei")</f>
        <v>Kyllä</v>
      </c>
      <c r="E112" s="1" t="str">
        <f>IF(ISBLANK(Kestävä_ja_kehittyvä!K7),"_Otsikkorivi",Kestävä_ja_kehittyvä!K7)</f>
        <v>Kestävä ja kehittyvä</v>
      </c>
      <c r="F112" s="1" t="str">
        <f>Kestävä_ja_kehittyvä!L7</f>
        <v>9. Jätevesien käsittelyn ja johtamisen ympäristökuormitus minimoidaan</v>
      </c>
      <c r="G112" s="8" t="str">
        <f>IF(ISBLANK(Kestävä_ja_kehittyvä!R7),"Otsikkorivi",Kestävä_ja_kehittyvä!R7)</f>
        <v>9.2 Viemäritukosten määrä &lt; 5 kpl/100 km/v</v>
      </c>
      <c r="H112" s="1" t="str">
        <f>IF(ISBLANK(Kestävä_ja_kehittyvä!S7),"",Kestävä_ja_kehittyvä!S7)</f>
        <v/>
      </c>
    </row>
    <row r="113" spans="1:8" x14ac:dyDescent="0.25">
      <c r="A113" s="1" t="str">
        <f>Kestävä_ja_kehittyvä!I8</f>
        <v>Ei kuulu</v>
      </c>
      <c r="B113" s="1" t="str">
        <f>Kestävä_ja_kehittyvä!P8</f>
        <v/>
      </c>
      <c r="C113" s="1" t="str">
        <f t="shared" si="2"/>
        <v>Ei</v>
      </c>
      <c r="D113" s="1" t="str">
        <f>IF(Kestävä_ja_kehittyvä!N8="x","Kyllä","Ei")</f>
        <v>Kyllä</v>
      </c>
      <c r="E113" s="1" t="str">
        <f>IF(ISBLANK(Kestävä_ja_kehittyvä!K8),"_Otsikkorivi",Kestävä_ja_kehittyvä!K8)</f>
        <v>Kestävä ja kehittyvä</v>
      </c>
      <c r="F113" s="1" t="str">
        <f>Kestävä_ja_kehittyvä!L8</f>
        <v>9. Jätevesien käsittelyn ja johtamisen ympäristökuormitus minimoidaan</v>
      </c>
      <c r="G113" s="8" t="str">
        <f>IF(ISBLANK(Kestävä_ja_kehittyvä!R8),"Otsikkorivi",Kestävä_ja_kehittyvä!R8)</f>
        <v>9.3 Laitosohitusten määrä jätevedestä &lt; 0,5 %</v>
      </c>
      <c r="H113" s="1" t="str">
        <f>IF(ISBLANK(Kestävä_ja_kehittyvä!S8),"",Kestävä_ja_kehittyvä!S8)</f>
        <v/>
      </c>
    </row>
    <row r="114" spans="1:8" ht="30" x14ac:dyDescent="0.25">
      <c r="A114" s="1" t="str">
        <f>Kestävä_ja_kehittyvä!I9</f>
        <v>Ei kuulu</v>
      </c>
      <c r="B114" s="1" t="str">
        <f>Kestävä_ja_kehittyvä!P9</f>
        <v/>
      </c>
      <c r="C114" s="1" t="str">
        <f t="shared" si="2"/>
        <v>Ei</v>
      </c>
      <c r="D114" s="1" t="str">
        <f>IF(Kestävä_ja_kehittyvä!N9="x","Kyllä","Ei")</f>
        <v>Ei</v>
      </c>
      <c r="E114" s="1" t="str">
        <f>IF(ISBLANK(Kestävä_ja_kehittyvä!K9),"_Otsikkorivi",Kestävä_ja_kehittyvä!K9)</f>
        <v>Kestävä ja kehittyvä</v>
      </c>
      <c r="F114" s="1" t="str">
        <f>Kestävä_ja_kehittyvä!L9</f>
        <v>9. Jätevesien käsittelyn ja johtamisen ympäristökuormitus minimoidaan</v>
      </c>
      <c r="G114" s="8" t="str">
        <f>IF(ISBLANK(Kestävä_ja_kehittyvä!R9),"Otsikkorivi",Kestävä_ja_kehittyvä!R9)</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14" s="1" t="str">
        <f>IF(ISBLANK(Kestävä_ja_kehittyvä!S9),"",Kestävä_ja_kehittyvä!S9)</f>
        <v/>
      </c>
    </row>
    <row r="115" spans="1:8" x14ac:dyDescent="0.25">
      <c r="A115" s="1" t="str">
        <f>Kestävä_ja_kehittyvä!I10</f>
        <v>Ei kuulu</v>
      </c>
      <c r="B115" s="1" t="str">
        <f>Kestävä_ja_kehittyvä!P10</f>
        <v/>
      </c>
      <c r="C115" s="1" t="str">
        <f t="shared" si="2"/>
        <v>Ei</v>
      </c>
      <c r="D115" s="1" t="str">
        <f>IF(Kestävä_ja_kehittyvä!N10="x","Kyllä","Ei")</f>
        <v>Kyllä</v>
      </c>
      <c r="E115" s="1" t="str">
        <f>IF(ISBLANK(Kestävä_ja_kehittyvä!K10),"_Otsikkorivi",Kestävä_ja_kehittyvä!K10)</f>
        <v>Kestävä ja kehittyvä</v>
      </c>
      <c r="F115" s="1" t="str">
        <f>Kestävä_ja_kehittyvä!L10</f>
        <v>9. Jätevesien käsittelyn ja johtamisen ympäristökuormitus minimoidaan</v>
      </c>
      <c r="G115" s="8" t="str">
        <f>IF(ISBLANK(Kestävä_ja_kehittyvä!R10),"Otsikkorivi",Kestävä_ja_kehittyvä!R10)</f>
        <v xml:space="preserve">9.5 Vesihuoltolaitoksen sekaviemäröinnin vähentämisestä on tehty suunnitelma ja sitä vähennetään vuosittain </v>
      </c>
      <c r="H115" s="1" t="str">
        <f>IF(ISBLANK(Kestävä_ja_kehittyvä!S10),"",Kestävä_ja_kehittyvä!S10)</f>
        <v/>
      </c>
    </row>
    <row r="116" spans="1:8" ht="30" x14ac:dyDescent="0.25">
      <c r="A116" s="1" t="str">
        <f>Kestävä_ja_kehittyvä!I11</f>
        <v>Ei kuulu</v>
      </c>
      <c r="B116" s="1" t="str">
        <f>Kestävä_ja_kehittyvä!P11</f>
        <v/>
      </c>
      <c r="C116" s="1" t="str">
        <f t="shared" si="2"/>
        <v>Ei</v>
      </c>
      <c r="D116" s="1" t="str">
        <f>IF(Kestävä_ja_kehittyvä!N11="x","Kyllä","Ei")</f>
        <v>Ei</v>
      </c>
      <c r="E116" s="1" t="str">
        <f>IF(ISBLANK(Kestävä_ja_kehittyvä!K11),"_Otsikkorivi",Kestävä_ja_kehittyvä!K11)</f>
        <v>Kestävä ja kehittyvä</v>
      </c>
      <c r="F116" s="1" t="str">
        <f>Kestävä_ja_kehittyvä!L11</f>
        <v>9. Jätevesien käsittelyn ja johtamisen ympäristökuormitus minimoidaan</v>
      </c>
      <c r="G116" s="8" t="str">
        <f>IF(ISBLANK(Kestävä_ja_kehittyvä!R11),"Otsikkorivi",Kestävä_ja_kehittyvä!R11)</f>
        <v xml:space="preserve">9.6 Vesihuoltolaitoksen viemäriverkoston vuotoja mitataan ja seurataan ja vuotavuusprosentti on määritelty soveltuvin osin pumppaamo- ja verkostoalueittain.  </v>
      </c>
      <c r="H116" s="1" t="str">
        <f>IF(ISBLANK(Kestävä_ja_kehittyvä!S11),"",Kestävä_ja_kehittyvä!S11)</f>
        <v/>
      </c>
    </row>
    <row r="117" spans="1:8" ht="30" x14ac:dyDescent="0.25">
      <c r="A117" s="1" t="str">
        <f>Kestävä_ja_kehittyvä!I12</f>
        <v>Ei kuulu</v>
      </c>
      <c r="B117" s="1" t="str">
        <f>Kestävä_ja_kehittyvä!P12</f>
        <v/>
      </c>
      <c r="C117" s="1" t="str">
        <f t="shared" si="2"/>
        <v>Ei</v>
      </c>
      <c r="D117" s="1" t="str">
        <f>IF(Kestävä_ja_kehittyvä!N12="x","Kyllä","Ei")</f>
        <v>Ei</v>
      </c>
      <c r="E117" s="1" t="str">
        <f>IF(ISBLANK(Kestävä_ja_kehittyvä!K12),"_Otsikkorivi",Kestävä_ja_kehittyvä!K12)</f>
        <v>Kestävä ja kehittyvä</v>
      </c>
      <c r="F117" s="1" t="str">
        <f>Kestävä_ja_kehittyvä!L12</f>
        <v>9. Jätevesien käsittelyn ja johtamisen ympäristökuormitus minimoidaan</v>
      </c>
      <c r="G117" s="8" t="str">
        <f>IF(ISBLANK(Kestävä_ja_kehittyvä!R12),"Otsikkorivi",Kestävä_ja_kehittyvä!R12)</f>
        <v>9.7 Vesihuoltolaitos on laatinut vuotovesien hallintasuunnitelman ja vuosittaisen investointisuunnitelman vuotovesien vähentämiseksi ja sitä toteutetaan.</v>
      </c>
      <c r="H117" s="1" t="str">
        <f>IF(ISBLANK(Kestävä_ja_kehittyvä!S12),"",Kestävä_ja_kehittyvä!S12)</f>
        <v/>
      </c>
    </row>
    <row r="118" spans="1:8" ht="30" x14ac:dyDescent="0.25">
      <c r="A118" s="1" t="str">
        <f>Kestävä_ja_kehittyvä!I13</f>
        <v>Ei kuulu</v>
      </c>
      <c r="B118" s="1" t="str">
        <f>Kestävä_ja_kehittyvä!P13</f>
        <v/>
      </c>
      <c r="C118" s="1" t="str">
        <f t="shared" si="2"/>
        <v>Ei</v>
      </c>
      <c r="D118" s="1" t="str">
        <f>IF(Kestävä_ja_kehittyvä!N13="x","Kyllä","Ei")</f>
        <v>Ei</v>
      </c>
      <c r="E118" s="1" t="str">
        <f>IF(ISBLANK(Kestävä_ja_kehittyvä!K13),"_Otsikkorivi",Kestävä_ja_kehittyvä!K13)</f>
        <v>Kestävä ja kehittyvä</v>
      </c>
      <c r="F118" s="1" t="str">
        <f>Kestävä_ja_kehittyvä!L13</f>
        <v>9. Jätevesien käsittelyn ja johtamisen ympäristökuormitus minimoidaan</v>
      </c>
      <c r="G118" s="8" t="str">
        <f>IF(ISBLANK(Kestävä_ja_kehittyvä!R13),"Otsikkorivi",Kestävä_ja_kehittyvä!R13)</f>
        <v>9.8 Vesihuoltolaitos on liittynyt vesiensuojelusopimukseen (Green Deal), tavoitteena vapaaehtoisesti vähentää kuormitusta alle lupaehtojen.</v>
      </c>
      <c r="H118" s="1" t="str">
        <f>IF(ISBLANK(Kestävä_ja_kehittyvä!S13),"",Kestävä_ja_kehittyvä!S13)</f>
        <v/>
      </c>
    </row>
    <row r="119" spans="1:8" x14ac:dyDescent="0.25">
      <c r="A119" s="1" t="str">
        <f>Kestävä_ja_kehittyvä!I14</f>
        <v>Ei kuulu</v>
      </c>
      <c r="B119" s="1" t="str">
        <f>Kestävä_ja_kehittyvä!P14</f>
        <v/>
      </c>
      <c r="C119" s="1" t="str">
        <f t="shared" si="2"/>
        <v>Ei</v>
      </c>
      <c r="D119" s="1" t="str">
        <f>IF(Kestävä_ja_kehittyvä!N14="x","Kyllä","Ei")</f>
        <v>Ei</v>
      </c>
      <c r="E119" s="1" t="str">
        <f>IF(ISBLANK(Kestävä_ja_kehittyvä!K14),"_Otsikkorivi",Kestävä_ja_kehittyvä!K14)</f>
        <v>Kestävä ja kehittyvä</v>
      </c>
      <c r="F119" s="1" t="str">
        <f>Kestävä_ja_kehittyvä!L14</f>
        <v>_Otsikkorivi</v>
      </c>
      <c r="G119" s="8" t="str">
        <f>IF(ISBLANK(Kestävä_ja_kehittyvä!R14),"Otsikkorivi",Kestävä_ja_kehittyvä!R14)</f>
        <v>10. Kestävä ja energiatehokas</v>
      </c>
      <c r="H119" s="1" t="str">
        <f>IF(ISBLANK(Kestävä_ja_kehittyvä!S14),"",Kestävä_ja_kehittyvä!S14)</f>
        <v/>
      </c>
    </row>
    <row r="120" spans="1:8" x14ac:dyDescent="0.25">
      <c r="A120" s="1" t="str">
        <f>Kestävä_ja_kehittyvä!I15</f>
        <v>Ei kuulu</v>
      </c>
      <c r="B120" s="1" t="str">
        <f>Kestävä_ja_kehittyvä!P15</f>
        <v/>
      </c>
      <c r="C120" s="1" t="str">
        <f t="shared" si="2"/>
        <v>Ei</v>
      </c>
      <c r="D120" s="1" t="str">
        <f>IF(Kestävä_ja_kehittyvä!N15="x","Kyllä","Ei")</f>
        <v>Ei</v>
      </c>
      <c r="E120" s="1" t="str">
        <f>IF(ISBLANK(Kestävä_ja_kehittyvä!K15),"_Otsikkorivi",Kestävä_ja_kehittyvä!K15)</f>
        <v>Kestävä ja kehittyvä</v>
      </c>
      <c r="F120" s="1" t="str">
        <f>Kestävä_ja_kehittyvä!L15</f>
        <v>10. Kestävä ja energiatehokas</v>
      </c>
      <c r="G120" s="8" t="str">
        <f>IF(ISBLANK(Kestävä_ja_kehittyvä!R15),"Otsikkorivi",Kestävä_ja_kehittyvä!R15)</f>
        <v xml:space="preserve">10.1 Vesihuoltolaitoksen energiankulutusta seurataan ja siihen kiinnitetään huomiota </v>
      </c>
      <c r="H120" s="1" t="str">
        <f>IF(ISBLANK(Kestävä_ja_kehittyvä!S15),"",Kestävä_ja_kehittyvä!S15)</f>
        <v/>
      </c>
    </row>
    <row r="121" spans="1:8" ht="30" x14ac:dyDescent="0.25">
      <c r="A121" s="1" t="str">
        <f>Kestävä_ja_kehittyvä!I16</f>
        <v>Ei kuulu</v>
      </c>
      <c r="B121" s="1" t="str">
        <f>Kestävä_ja_kehittyvä!P16</f>
        <v/>
      </c>
      <c r="C121" s="1" t="str">
        <f t="shared" si="2"/>
        <v>Ei</v>
      </c>
      <c r="D121" s="1" t="str">
        <f>IF(Kestävä_ja_kehittyvä!N16="x","Kyllä","Ei")</f>
        <v>Ei</v>
      </c>
      <c r="E121" s="1" t="str">
        <f>IF(ISBLANK(Kestävä_ja_kehittyvä!K16),"_Otsikkorivi",Kestävä_ja_kehittyvä!K16)</f>
        <v>Kestävä ja kehittyvä</v>
      </c>
      <c r="F121" s="1" t="str">
        <f>Kestävä_ja_kehittyvä!L16</f>
        <v>10. Kestävä ja energiatehokas</v>
      </c>
      <c r="G121" s="8" t="str">
        <f>IF(ISBLANK(Kestävä_ja_kehittyvä!R16),"Otsikkorivi",Kestävä_ja_kehittyvä!R16)</f>
        <v>10.1 Vesihuoltolaitoksen energiankulutusta mitataan ja seura-taan vesihuoltolaitoksella osa-alueittain (esim. pumppaukset tai muut merkittävimmät energiankulutuskohteet).</v>
      </c>
      <c r="H121" s="1" t="str">
        <f>IF(ISBLANK(Kestävä_ja_kehittyvä!S16),"",Kestävä_ja_kehittyvä!S16)</f>
        <v/>
      </c>
    </row>
    <row r="122" spans="1:8" ht="30" x14ac:dyDescent="0.25">
      <c r="A122" s="1" t="str">
        <f>Kestävä_ja_kehittyvä!I17</f>
        <v>Ei kuulu</v>
      </c>
      <c r="B122" s="1" t="str">
        <f>Kestävä_ja_kehittyvä!P17</f>
        <v/>
      </c>
      <c r="C122" s="1" t="str">
        <f t="shared" si="2"/>
        <v>Ei</v>
      </c>
      <c r="D122" s="1" t="str">
        <f>IF(Kestävä_ja_kehittyvä!N17="x","Kyllä","Ei")</f>
        <v>Ei</v>
      </c>
      <c r="E122" s="1" t="str">
        <f>IF(ISBLANK(Kestävä_ja_kehittyvä!K17),"_Otsikkorivi",Kestävä_ja_kehittyvä!K17)</f>
        <v>Kestävä ja kehittyvä</v>
      </c>
      <c r="F122" s="1" t="str">
        <f>Kestävä_ja_kehittyvä!L17</f>
        <v>10. Kestävä ja energiatehokas</v>
      </c>
      <c r="G122" s="8" t="str">
        <f>IF(ISBLANK(Kestävä_ja_kehittyvä!R17),"Otsikkorivi",Kestävä_ja_kehittyvä!R17)</f>
        <v>10.2 Vesihuoltolaitos tekee systemaattista riskinarviointia ja riskienhallintaa työturvallisuuden osalta sisältäen mm. kemiallisten ja biologisten vaarojen arvioinnin.</v>
      </c>
      <c r="H122" s="1" t="str">
        <f>IF(ISBLANK(Kestävä_ja_kehittyvä!S17),"",Kestävä_ja_kehittyvä!S17)</f>
        <v/>
      </c>
    </row>
    <row r="123" spans="1:8" ht="30" x14ac:dyDescent="0.25">
      <c r="A123" s="1" t="str">
        <f>Kestävä_ja_kehittyvä!I18</f>
        <v>Ei kuulu</v>
      </c>
      <c r="B123" s="1" t="str">
        <f>Kestävä_ja_kehittyvä!P18</f>
        <v/>
      </c>
      <c r="C123" s="1" t="str">
        <f t="shared" si="2"/>
        <v>Ei</v>
      </c>
      <c r="D123" s="1" t="str">
        <f>IF(Kestävä_ja_kehittyvä!N18="x","Kyllä","Ei")</f>
        <v>Ei</v>
      </c>
      <c r="E123" s="1" t="str">
        <f>IF(ISBLANK(Kestävä_ja_kehittyvä!K18),"_Otsikkorivi",Kestävä_ja_kehittyvä!K18)</f>
        <v>Kestävä ja kehittyvä</v>
      </c>
      <c r="F123" s="1" t="str">
        <f>Kestävä_ja_kehittyvä!L18</f>
        <v>10. Kestävä ja energiatehokas</v>
      </c>
      <c r="G123" s="8" t="str">
        <f>IF(ISBLANK(Kestävä_ja_kehittyvä!R18),"Otsikkorivi",Kestävä_ja_kehittyvä!R18)</f>
        <v xml:space="preserve">10.3 Vesihuoltolaitoksen toiminta-alueen asukkaille on kohdistettu neuvontaa luvattomien viemäriliitosten poistamiseksi (esimerkiksi huleveden ja/tai perustusten kuivatusveden johtaminen jätevesiviemäriin ilman lupaa). </v>
      </c>
      <c r="H123" s="1" t="str">
        <f>IF(ISBLANK(Kestävä_ja_kehittyvä!S18),"",Kestävä_ja_kehittyvä!S18)</f>
        <v/>
      </c>
    </row>
    <row r="124" spans="1:8" ht="30" x14ac:dyDescent="0.25">
      <c r="A124" s="1" t="str">
        <f>Kestävä_ja_kehittyvä!I19</f>
        <v>Ei kuulu</v>
      </c>
      <c r="B124" s="1" t="str">
        <f>Kestävä_ja_kehittyvä!P19</f>
        <v/>
      </c>
      <c r="C124" s="1" t="str">
        <f t="shared" si="2"/>
        <v>Ei</v>
      </c>
      <c r="D124" s="1" t="str">
        <f>IF(Kestävä_ja_kehittyvä!N19="x","Kyllä","Ei")</f>
        <v>Ei</v>
      </c>
      <c r="E124" s="1" t="str">
        <f>IF(ISBLANK(Kestävä_ja_kehittyvä!K19),"_Otsikkorivi",Kestävä_ja_kehittyvä!K19)</f>
        <v>Kestävä ja kehittyvä</v>
      </c>
      <c r="F124" s="1" t="str">
        <f>Kestävä_ja_kehittyvä!L19</f>
        <v>10. Kestävä ja energiatehokas</v>
      </c>
      <c r="G124" s="8" t="str">
        <f>IF(ISBLANK(Kestävä_ja_kehittyvä!R19),"Otsikkorivi",Kestävä_ja_kehittyvä!R19)</f>
        <v>10.4 Taloudelliset ohjauskeinot luvattomien viemäriliitosten poistamiseksi ovat aidosti käytössä eli korotettuja maksuja peritään tarvittaessa.</v>
      </c>
      <c r="H124" s="1" t="str">
        <f>IF(ISBLANK(Kestävä_ja_kehittyvä!S19),"",Kestävä_ja_kehittyvä!S19)</f>
        <v/>
      </c>
    </row>
    <row r="125" spans="1:8" x14ac:dyDescent="0.25">
      <c r="A125" s="1" t="str">
        <f>Kestävä_ja_kehittyvä!I20</f>
        <v>Ei kuulu</v>
      </c>
      <c r="B125" s="1" t="str">
        <f>Kestävä_ja_kehittyvä!P20</f>
        <v/>
      </c>
      <c r="C125" s="1" t="str">
        <f t="shared" si="2"/>
        <v>Ei</v>
      </c>
      <c r="D125" s="1" t="str">
        <f>IF(Kestävä_ja_kehittyvä!N20="x","Kyllä","Ei")</f>
        <v>Ei</v>
      </c>
      <c r="E125" s="1" t="str">
        <f>IF(ISBLANK(Kestävä_ja_kehittyvä!K20),"_Otsikkorivi",Kestävä_ja_kehittyvä!K20)</f>
        <v>Kestävä ja kehittyvä</v>
      </c>
      <c r="F125" s="1" t="str">
        <f>Kestävä_ja_kehittyvä!L20</f>
        <v>10. Kestävä ja energiatehokas</v>
      </c>
      <c r="G125" s="8" t="str">
        <f>IF(ISBLANK(Kestävä_ja_kehittyvä!R20),"Otsikkorivi",Kestävä_ja_kehittyvä!R20)</f>
        <v>10.5 Vesihuoltolaitos laatii ja julkaisee ympäristötilinpäätöksen vuosittain.</v>
      </c>
      <c r="H125" s="1" t="str">
        <f>IF(ISBLANK(Kestävä_ja_kehittyvä!S20),"",Kestävä_ja_kehittyvä!S20)</f>
        <v/>
      </c>
    </row>
    <row r="126" spans="1:8" x14ac:dyDescent="0.25">
      <c r="A126" s="1" t="str">
        <f>Kestävä_ja_kehittyvä!I21</f>
        <v>Ei kuulu</v>
      </c>
      <c r="B126" s="1" t="str">
        <f>Kestävä_ja_kehittyvä!P21</f>
        <v/>
      </c>
      <c r="C126" s="1" t="str">
        <f t="shared" si="2"/>
        <v>Ei</v>
      </c>
      <c r="D126" s="1" t="str">
        <f>IF(Kestävä_ja_kehittyvä!N21="x","Kyllä","Ei")</f>
        <v>Ei</v>
      </c>
      <c r="E126" s="1" t="str">
        <f>IF(ISBLANK(Kestävä_ja_kehittyvä!K21),"_Otsikkorivi",Kestävä_ja_kehittyvä!K21)</f>
        <v>Kestävä ja kehittyvä</v>
      </c>
      <c r="F126" s="1" t="str">
        <f>Kestävä_ja_kehittyvä!L21</f>
        <v>10. Kestävä ja energiatehokas</v>
      </c>
      <c r="G126" s="8" t="str">
        <f>IF(ISBLANK(Kestävä_ja_kehittyvä!R21),"Otsikkorivi",Kestävä_ja_kehittyvä!R21)</f>
        <v>10.6 Vesihuoltolaitoksen hiilijalanjälki on laskettu ja tuloksia käytetään toiminnan ohjauksessa.</v>
      </c>
      <c r="H126" s="1" t="str">
        <f>IF(ISBLANK(Kestävä_ja_kehittyvä!S21),"",Kestävä_ja_kehittyvä!S21)</f>
        <v/>
      </c>
    </row>
    <row r="127" spans="1:8" ht="30" x14ac:dyDescent="0.25">
      <c r="A127" s="1" t="str">
        <f>Kestävä_ja_kehittyvä!I22</f>
        <v>Ei kuulu</v>
      </c>
      <c r="B127" s="1" t="str">
        <f>Kestävä_ja_kehittyvä!P22</f>
        <v/>
      </c>
      <c r="C127" s="1" t="str">
        <f t="shared" si="2"/>
        <v>Ei</v>
      </c>
      <c r="D127" s="1" t="str">
        <f>IF(Kestävä_ja_kehittyvä!N22="x","Kyllä","Ei")</f>
        <v>Ei</v>
      </c>
      <c r="E127" s="1" t="str">
        <f>IF(ISBLANK(Kestävä_ja_kehittyvä!K22),"_Otsikkorivi",Kestävä_ja_kehittyvä!K22)</f>
        <v>Kestävä ja kehittyvä</v>
      </c>
      <c r="F127" s="1" t="str">
        <f>Kestävä_ja_kehittyvä!L22</f>
        <v>10. Kestävä ja energiatehokas</v>
      </c>
      <c r="G127" s="8" t="str">
        <f>IF(ISBLANK(Kestävä_ja_kehittyvä!R22),"Otsikkorivi",Kestävä_ja_kehittyvä!R22)</f>
        <v>10.7 Vesihuoltolaitoksen energiankulutus on analysoitu, toimenpideohjelma energiatehokkuuden parantamiseksi laadittu ja sitä toteutetaan.</v>
      </c>
      <c r="H127" s="1" t="str">
        <f>IF(ISBLANK(Kestävä_ja_kehittyvä!S22),"",Kestävä_ja_kehittyvä!S22)</f>
        <v/>
      </c>
    </row>
    <row r="128" spans="1:8" x14ac:dyDescent="0.25">
      <c r="A128" s="1" t="str">
        <f>Kestävä_ja_kehittyvä!I23</f>
        <v>Ei kuulu</v>
      </c>
      <c r="B128" s="1" t="str">
        <f>Kestävä_ja_kehittyvä!P23</f>
        <v/>
      </c>
      <c r="C128" s="1" t="str">
        <f t="shared" si="2"/>
        <v>Ei</v>
      </c>
      <c r="D128" s="1" t="str">
        <f>IF(Kestävä_ja_kehittyvä!N23="x","Kyllä","Ei")</f>
        <v>Ei</v>
      </c>
      <c r="E128" s="1" t="str">
        <f>IF(ISBLANK(Kestävä_ja_kehittyvä!K23),"_Otsikkorivi",Kestävä_ja_kehittyvä!K23)</f>
        <v>Kestävä ja kehittyvä</v>
      </c>
      <c r="F128" s="1" t="str">
        <f>Kestävä_ja_kehittyvä!L23</f>
        <v>10. Kestävä ja energiatehokas</v>
      </c>
      <c r="G128" s="8" t="str">
        <f>IF(ISBLANK(Kestävä_ja_kehittyvä!R23),"Otsikkorivi",Kestävä_ja_kehittyvä!R23)</f>
        <v xml:space="preserve">10.8 Jätevedenpuhdistamolla hyödynnetään hukkalämpöä. </v>
      </c>
      <c r="H128" s="1" t="str">
        <f>IF(ISBLANK(Kestävä_ja_kehittyvä!S23),"",Kestävä_ja_kehittyvä!S23)</f>
        <v/>
      </c>
    </row>
    <row r="129" spans="1:8" x14ac:dyDescent="0.25">
      <c r="A129" s="1" t="str">
        <f>Kestävä_ja_kehittyvä!I24</f>
        <v>Ei kuulu</v>
      </c>
      <c r="B129" s="1" t="str">
        <f>Kestävä_ja_kehittyvä!P24</f>
        <v/>
      </c>
      <c r="C129" s="1" t="str">
        <f t="shared" si="2"/>
        <v>Ei</v>
      </c>
      <c r="D129" s="1" t="str">
        <f>IF(Kestävä_ja_kehittyvä!N24="x","Kyllä","Ei")</f>
        <v>Ei</v>
      </c>
      <c r="E129" s="1" t="str">
        <f>IF(ISBLANK(Kestävä_ja_kehittyvä!K24),"_Otsikkorivi",Kestävä_ja_kehittyvä!K24)</f>
        <v>Kestävä ja kehittyvä</v>
      </c>
      <c r="F129" s="1" t="str">
        <f>Kestävä_ja_kehittyvä!L24</f>
        <v>10. Kestävä ja energiatehokas</v>
      </c>
      <c r="G129" s="8" t="str">
        <f>IF(ISBLANK(Kestävä_ja_kehittyvä!R24),"Otsikkorivi",Kestävä_ja_kehittyvä!R24)</f>
        <v>10.9 Vesilaitoksen toiminnassa on järjestelmällisesti otettu huomioon ympäristö-, talous- ja sosiaalinen vastuu.</v>
      </c>
      <c r="H129" s="1" t="str">
        <f>IF(ISBLANK(Kestävä_ja_kehittyvä!S24),"",Kestävä_ja_kehittyvä!S24)</f>
        <v/>
      </c>
    </row>
    <row r="130" spans="1:8" x14ac:dyDescent="0.25">
      <c r="A130" s="1" t="str">
        <f>Kestävä_ja_kehittyvä!I25</f>
        <v>Ei kuulu</v>
      </c>
      <c r="B130" s="1" t="str">
        <f>Kestävä_ja_kehittyvä!P25</f>
        <v/>
      </c>
      <c r="C130" s="1" t="str">
        <f t="shared" si="2"/>
        <v>Ei</v>
      </c>
      <c r="D130" s="1" t="str">
        <f>IF(Kestävä_ja_kehittyvä!N25="x","Kyllä","Ei")</f>
        <v>Ei</v>
      </c>
      <c r="E130" s="1" t="str">
        <f>IF(ISBLANK(Kestävä_ja_kehittyvä!K25),"_Otsikkorivi",Kestävä_ja_kehittyvä!K25)</f>
        <v>Kestävä ja kehittyvä</v>
      </c>
      <c r="F130" s="1" t="str">
        <f>Kestävä_ja_kehittyvä!L25</f>
        <v>10. Kestävä ja energiatehokas</v>
      </c>
      <c r="G130" s="8" t="str">
        <f>IF(ISBLANK(Kestävä_ja_kehittyvä!R25),"Otsikkorivi",Kestävä_ja_kehittyvä!R25)</f>
        <v>10.10 Vesihuoltolaitoksen energiantuottopotentiaali on kartoitettu ja laitoksella on tavoitearvo energiaomavaraisuudelle.</v>
      </c>
      <c r="H130" s="1" t="str">
        <f>IF(ISBLANK(Kestävä_ja_kehittyvä!S25),"",Kestävä_ja_kehittyvä!S25)</f>
        <v/>
      </c>
    </row>
    <row r="131" spans="1:8" x14ac:dyDescent="0.25">
      <c r="A131" s="1" t="str">
        <f>Kestävä_ja_kehittyvä!I26</f>
        <v>Ei kuulu</v>
      </c>
      <c r="B131" s="1" t="str">
        <f>Kestävä_ja_kehittyvä!P26</f>
        <v/>
      </c>
      <c r="C131" s="1" t="str">
        <f t="shared" si="2"/>
        <v>Ei</v>
      </c>
      <c r="D131" s="1" t="str">
        <f>IF(Kestävä_ja_kehittyvä!N26="x","Kyllä","Ei")</f>
        <v>Ei</v>
      </c>
      <c r="E131" s="1" t="str">
        <f>IF(ISBLANK(Kestävä_ja_kehittyvä!K26),"_Otsikkorivi",Kestävä_ja_kehittyvä!K26)</f>
        <v>Kestävä ja kehittyvä</v>
      </c>
      <c r="F131" s="1" t="str">
        <f>Kestävä_ja_kehittyvä!L26</f>
        <v>10. Kestävä ja energiatehokas</v>
      </c>
      <c r="G131" s="8" t="str">
        <f>IF(ISBLANK(Kestävä_ja_kehittyvä!R26),"Otsikkorivi",Kestävä_ja_kehittyvä!R26)</f>
        <v xml:space="preserve">10.12 Hiilineutraalisuudelle on asetettu tavoite ja toimenpidesuunnitelma sen saavuttamiseksi </v>
      </c>
      <c r="H131" s="1" t="str">
        <f>IF(ISBLANK(Kestävä_ja_kehittyvä!S26),"",Kestävä_ja_kehittyvä!S26)</f>
        <v/>
      </c>
    </row>
    <row r="132" spans="1:8" x14ac:dyDescent="0.25">
      <c r="A132" s="1" t="str">
        <f>Kestävä_ja_kehittyvä!I27</f>
        <v>Ei kuulu</v>
      </c>
      <c r="B132" s="1" t="str">
        <f>Kestävä_ja_kehittyvä!P27</f>
        <v/>
      </c>
      <c r="C132" s="1" t="str">
        <f t="shared" si="2"/>
        <v>Ei</v>
      </c>
      <c r="D132" s="1" t="str">
        <f>IF(Kestävä_ja_kehittyvä!N27="x","Kyllä","Ei")</f>
        <v>Ei</v>
      </c>
      <c r="E132" s="1" t="str">
        <f>IF(ISBLANK(Kestävä_ja_kehittyvä!K27),"_Otsikkorivi",Kestävä_ja_kehittyvä!K27)</f>
        <v>Kestävä ja kehittyvä</v>
      </c>
      <c r="F132" s="1" t="str">
        <f>Kestävä_ja_kehittyvä!L27</f>
        <v>_Otsikkorivi</v>
      </c>
      <c r="G132" s="8" t="str">
        <f>IF(ISBLANK(Kestävä_ja_kehittyvä!R27),"Otsikkorivi",Kestävä_ja_kehittyvä!R27)</f>
        <v>11. Asiakaspalvelu ja viestintä on suunniteltua ja läpinäkyvää</v>
      </c>
      <c r="H132" s="1" t="str">
        <f>IF(ISBLANK(Kestävä_ja_kehittyvä!S27),"",Kestävä_ja_kehittyvä!S27)</f>
        <v/>
      </c>
    </row>
    <row r="133" spans="1:8" x14ac:dyDescent="0.25">
      <c r="A133" s="1" t="str">
        <f>Kestävä_ja_kehittyvä!I28</f>
        <v>Ei kuulu</v>
      </c>
      <c r="B133" s="1" t="str">
        <f>Kestävä_ja_kehittyvä!P28</f>
        <v/>
      </c>
      <c r="C133" s="1" t="str">
        <f t="shared" si="2"/>
        <v>Ei</v>
      </c>
      <c r="D133" s="1" t="str">
        <f>IF(Kestävä_ja_kehittyvä!N28="x","Kyllä","Ei")</f>
        <v>Ei</v>
      </c>
      <c r="E133" s="1" t="str">
        <f>IF(ISBLANK(Kestävä_ja_kehittyvä!K28),"_Otsikkorivi",Kestävä_ja_kehittyvä!K28)</f>
        <v>Kestävä ja kehittyvä</v>
      </c>
      <c r="F133" s="1" t="str">
        <f>Kestävä_ja_kehittyvä!L28</f>
        <v>11. Asiakaspalvelu ja viestintä on suunniteltua ja läpinäkyvää</v>
      </c>
      <c r="G133" s="8" t="str">
        <f>IF(ISBLANK(Kestävä_ja_kehittyvä!R28),"Otsikkorivi",Kestävä_ja_kehittyvä!R28)</f>
        <v>11.1 Säännöllinen asiakasviestintä esim. www-sivuilla, laskun/mittarilukemakortin yhteydessä tai asiakaslehdellä</v>
      </c>
      <c r="H133" s="1" t="str">
        <f>IF(ISBLANK(Kestävä_ja_kehittyvä!S28),"",Kestävä_ja_kehittyvä!S28)</f>
        <v/>
      </c>
    </row>
    <row r="134" spans="1:8" x14ac:dyDescent="0.25">
      <c r="A134" s="1" t="str">
        <f>Kestävä_ja_kehittyvä!I29</f>
        <v>Ei kuulu</v>
      </c>
      <c r="B134" s="1" t="str">
        <f>Kestävä_ja_kehittyvä!P29</f>
        <v/>
      </c>
      <c r="C134" s="1" t="str">
        <f t="shared" si="2"/>
        <v>Ei</v>
      </c>
      <c r="D134" s="1" t="str">
        <f>IF(Kestävä_ja_kehittyvä!N29="x","Kyllä","Ei")</f>
        <v>Ei</v>
      </c>
      <c r="E134" s="1" t="str">
        <f>IF(ISBLANK(Kestävä_ja_kehittyvä!K29),"_Otsikkorivi",Kestävä_ja_kehittyvä!K29)</f>
        <v>Kestävä ja kehittyvä</v>
      </c>
      <c r="F134" s="1" t="str">
        <f>Kestävä_ja_kehittyvä!L29</f>
        <v>11. Asiakaspalvelu ja viestintä on suunniteltua ja läpinäkyvää</v>
      </c>
      <c r="G134" s="8" t="str">
        <f>IF(ISBLANK(Kestävä_ja_kehittyvä!R29),"Otsikkorivi",Kestävä_ja_kehittyvä!R29)</f>
        <v>11.2 Toimintakertomus ja tilinpäätös julkaistaan vuosittain</v>
      </c>
      <c r="H134" s="1" t="str">
        <f>IF(ISBLANK(Kestävä_ja_kehittyvä!S29),"",Kestävä_ja_kehittyvä!S29)</f>
        <v/>
      </c>
    </row>
    <row r="135" spans="1:8" x14ac:dyDescent="0.25">
      <c r="A135" s="1" t="str">
        <f>Kestävä_ja_kehittyvä!I30</f>
        <v>Ei kuulu</v>
      </c>
      <c r="B135" s="1" t="str">
        <f>Kestävä_ja_kehittyvä!P30</f>
        <v/>
      </c>
      <c r="C135" s="1" t="str">
        <f t="shared" si="2"/>
        <v>Ei</v>
      </c>
      <c r="D135" s="1" t="str">
        <f>IF(Kestävä_ja_kehittyvä!N30="x","Kyllä","Ei")</f>
        <v>Ei</v>
      </c>
      <c r="E135" s="1" t="str">
        <f>IF(ISBLANK(Kestävä_ja_kehittyvä!K30),"_Otsikkorivi",Kestävä_ja_kehittyvä!K30)</f>
        <v>Kestävä ja kehittyvä</v>
      </c>
      <c r="F135" s="1" t="str">
        <f>Kestävä_ja_kehittyvä!L30</f>
        <v>11. Asiakaspalvelu ja viestintä on suunniteltua ja läpinäkyvää</v>
      </c>
      <c r="G135" s="8" t="str">
        <f>IF(ISBLANK(Kestävä_ja_kehittyvä!R30),"Otsikkorivi",Kestävä_ja_kehittyvä!R30)</f>
        <v>11.3 Asiakaspalaute kirjataan ylös</v>
      </c>
      <c r="H135" s="1" t="str">
        <f>IF(ISBLANK(Kestävä_ja_kehittyvä!S30),"",Kestävä_ja_kehittyvä!S30)</f>
        <v/>
      </c>
    </row>
    <row r="136" spans="1:8" x14ac:dyDescent="0.25">
      <c r="A136" s="1" t="str">
        <f>Kestävä_ja_kehittyvä!I31</f>
        <v>Ei kuulu</v>
      </c>
      <c r="B136" s="1" t="str">
        <f>Kestävä_ja_kehittyvä!P31</f>
        <v/>
      </c>
      <c r="C136" s="1" t="str">
        <f t="shared" si="2"/>
        <v>Ei</v>
      </c>
      <c r="D136" s="1" t="str">
        <f>IF(Kestävä_ja_kehittyvä!N31="x","Kyllä","Ei")</f>
        <v>Ei</v>
      </c>
      <c r="E136" s="1" t="str">
        <f>IF(ISBLANK(Kestävä_ja_kehittyvä!K31),"_Otsikkorivi",Kestävä_ja_kehittyvä!K31)</f>
        <v>Kestävä ja kehittyvä</v>
      </c>
      <c r="F136" s="1" t="str">
        <f>Kestävä_ja_kehittyvä!L31</f>
        <v>11. Asiakaspalvelu ja viestintä on suunniteltua ja läpinäkyvää</v>
      </c>
      <c r="G136" s="8" t="str">
        <f>IF(ISBLANK(Kestävä_ja_kehittyvä!R31),"Otsikkorivi",Kestävä_ja_kehittyvä!R31)</f>
        <v>11.4 Asiakastietojärjestelmä mahdollistaa sähköiset asiakaspalvelut</v>
      </c>
      <c r="H136" s="1" t="str">
        <f>IF(ISBLANK(Kestävä_ja_kehittyvä!S31),"",Kestävä_ja_kehittyvä!S31)</f>
        <v/>
      </c>
    </row>
    <row r="137" spans="1:8" ht="45" x14ac:dyDescent="0.25">
      <c r="A137" s="1" t="str">
        <f>Kestävä_ja_kehittyvä!I32</f>
        <v>Ei kuulu</v>
      </c>
      <c r="B137" s="1" t="str">
        <f>Kestävä_ja_kehittyvä!P32</f>
        <v/>
      </c>
      <c r="C137" s="1" t="str">
        <f t="shared" si="2"/>
        <v>Ei</v>
      </c>
      <c r="D137" s="1" t="str">
        <f>IF(Kestävä_ja_kehittyvä!N32="x","Kyllä","Ei")</f>
        <v>Ei</v>
      </c>
      <c r="E137" s="1" t="str">
        <f>IF(ISBLANK(Kestävä_ja_kehittyvä!K32),"_Otsikkorivi",Kestävä_ja_kehittyvä!K32)</f>
        <v>Kestävä ja kehittyvä</v>
      </c>
      <c r="F137" s="1" t="str">
        <f>Kestävä_ja_kehittyvä!L32</f>
        <v>11. Asiakaspalvelu ja viestintä on suunniteltua ja läpinäkyvää</v>
      </c>
      <c r="G137" s="8" t="str">
        <f>IF(ISBLANK(Kestävä_ja_kehittyvä!R32),"Otsikkorivi",Kestävä_ja_kehittyvä!R32)</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7" s="1" t="str">
        <f>IF(ISBLANK(Kestävä_ja_kehittyvä!S32),"",Kestävä_ja_kehittyvä!S32)</f>
        <v/>
      </c>
    </row>
    <row r="138" spans="1:8" x14ac:dyDescent="0.25">
      <c r="A138" s="1" t="str">
        <f>Kestävä_ja_kehittyvä!I33</f>
        <v>Ei kuulu</v>
      </c>
      <c r="B138" s="1" t="str">
        <f>Kestävä_ja_kehittyvä!P33</f>
        <v/>
      </c>
      <c r="C138" s="1" t="str">
        <f t="shared" si="2"/>
        <v>Ei</v>
      </c>
      <c r="D138" s="1" t="str">
        <f>IF(Kestävä_ja_kehittyvä!N33="x","Kyllä","Ei")</f>
        <v>Ei</v>
      </c>
      <c r="E138" s="1" t="str">
        <f>IF(ISBLANK(Kestävä_ja_kehittyvä!K33),"_Otsikkorivi",Kestävä_ja_kehittyvä!K33)</f>
        <v>Kestävä ja kehittyvä</v>
      </c>
      <c r="F138" s="1" t="str">
        <f>Kestävä_ja_kehittyvä!L33</f>
        <v>11. Asiakaspalvelu ja viestintä on suunniteltua ja läpinäkyvää</v>
      </c>
      <c r="G138" s="8" t="str">
        <f>IF(ISBLANK(Kestävä_ja_kehittyvä!R33),"Otsikkorivi",Kestävä_ja_kehittyvä!R33)</f>
        <v>11.6 Laitos tekee asiakastyytyväisyyskyselyn 2-4 vuoden välein.</v>
      </c>
      <c r="H138" s="1" t="str">
        <f>IF(ISBLANK(Kestävä_ja_kehittyvä!S33),"",Kestävä_ja_kehittyvä!S33)</f>
        <v/>
      </c>
    </row>
    <row r="139" spans="1:8" x14ac:dyDescent="0.25">
      <c r="A139" s="1" t="str">
        <f>Kestävä_ja_kehittyvä!I34</f>
        <v>Ei kuulu</v>
      </c>
      <c r="B139" s="1" t="str">
        <f>Kestävä_ja_kehittyvä!P34</f>
        <v/>
      </c>
      <c r="C139" s="1" t="str">
        <f t="shared" si="2"/>
        <v>Ei</v>
      </c>
      <c r="D139" s="1" t="str">
        <f>IF(Kestävä_ja_kehittyvä!N34="x","Kyllä","Ei")</f>
        <v>Ei</v>
      </c>
      <c r="E139" s="1" t="str">
        <f>IF(ISBLANK(Kestävä_ja_kehittyvä!K34),"_Otsikkorivi",Kestävä_ja_kehittyvä!K34)</f>
        <v>Kestävä ja kehittyvä</v>
      </c>
      <c r="F139" s="1" t="str">
        <f>Kestävä_ja_kehittyvä!L34</f>
        <v>11. Asiakaspalvelu ja viestintä on suunniteltua ja läpinäkyvää</v>
      </c>
      <c r="G139" s="8" t="str">
        <f>IF(ISBLANK(Kestävä_ja_kehittyvä!R34),"Otsikkorivi",Kestävä_ja_kehittyvä!R34)</f>
        <v>11.6 Laitos tekee asiakastyytyväisyyskyselyn 1-2 vuoden välein</v>
      </c>
      <c r="H139" s="1" t="str">
        <f>IF(ISBLANK(Kestävä_ja_kehittyvä!S34),"",Kestävä_ja_kehittyvä!S34)</f>
        <v/>
      </c>
    </row>
    <row r="140" spans="1:8" x14ac:dyDescent="0.25">
      <c r="A140" s="1" t="str">
        <f>Kestävä_ja_kehittyvä!I35</f>
        <v>Ei kuulu</v>
      </c>
      <c r="B140" s="1" t="str">
        <f>Kestävä_ja_kehittyvä!P35</f>
        <v/>
      </c>
      <c r="C140" s="1" t="str">
        <f t="shared" si="2"/>
        <v>Ei</v>
      </c>
      <c r="D140" s="1" t="str">
        <f>IF(Kestävä_ja_kehittyvä!N35="x","Kyllä","Ei")</f>
        <v>Ei</v>
      </c>
      <c r="E140" s="1" t="str">
        <f>IF(ISBLANK(Kestävä_ja_kehittyvä!K35),"_Otsikkorivi",Kestävä_ja_kehittyvä!K35)</f>
        <v>Kestävä ja kehittyvä</v>
      </c>
      <c r="F140" s="1" t="str">
        <f>Kestävä_ja_kehittyvä!L35</f>
        <v>11. Asiakaspalvelu ja viestintä on suunniteltua ja läpinäkyvää</v>
      </c>
      <c r="G140" s="8" t="str">
        <f>IF(ISBLANK(Kestävä_ja_kehittyvä!R35),"Otsikkorivi",Kestävä_ja_kehittyvä!R35)</f>
        <v>11.6 Laitos tekee asiakastyytyväisyyskyselyn vuosittain.</v>
      </c>
      <c r="H140" s="1" t="str">
        <f>IF(ISBLANK(Kestävä_ja_kehittyvä!S35),"",Kestävä_ja_kehittyvä!S35)</f>
        <v/>
      </c>
    </row>
    <row r="141" spans="1:8" x14ac:dyDescent="0.25">
      <c r="A141" s="1" t="str">
        <f>Kestävä_ja_kehittyvä!I36</f>
        <v>Ei kuulu</v>
      </c>
      <c r="B141" s="1" t="str">
        <f>Kestävä_ja_kehittyvä!P36</f>
        <v/>
      </c>
      <c r="C141" s="1" t="str">
        <f t="shared" si="2"/>
        <v>Ei</v>
      </c>
      <c r="D141" s="1" t="str">
        <f>IF(Kestävä_ja_kehittyvä!N36="x","Kyllä","Ei")</f>
        <v>Ei</v>
      </c>
      <c r="E141" s="1" t="str">
        <f>IF(ISBLANK(Kestävä_ja_kehittyvä!K36),"_Otsikkorivi",Kestävä_ja_kehittyvä!K36)</f>
        <v>Kestävä ja kehittyvä</v>
      </c>
      <c r="F141" s="1" t="str">
        <f>Kestävä_ja_kehittyvä!L36</f>
        <v>11. Asiakaspalvelu ja viestintä on suunniteltua ja läpinäkyvää</v>
      </c>
      <c r="G141" s="8" t="str">
        <f>IF(ISBLANK(Kestävä_ja_kehittyvä!R36),"Otsikkorivi",Kestävä_ja_kehittyvä!R36)</f>
        <v>11.7 Asiakasvalituksiin vastaamiseen on asetettu tavoiteaika.</v>
      </c>
      <c r="H141" s="1" t="str">
        <f>IF(ISBLANK(Kestävä_ja_kehittyvä!S36),"",Kestävä_ja_kehittyvä!S36)</f>
        <v/>
      </c>
    </row>
    <row r="142" spans="1:8" x14ac:dyDescent="0.25">
      <c r="A142" s="1" t="str">
        <f>Kestävä_ja_kehittyvä!I37</f>
        <v>Ei kuulu</v>
      </c>
      <c r="B142" s="1" t="str">
        <f>Kestävä_ja_kehittyvä!P37</f>
        <v/>
      </c>
      <c r="C142" s="1" t="str">
        <f t="shared" ref="C142:C148" si="3">IF(AND(A142="Kuuluu",H142="Ei",B142&lt;&gt;"Extra"),"Kyllä","Ei")</f>
        <v>Ei</v>
      </c>
      <c r="D142" s="1" t="str">
        <f>IF(Kestävä_ja_kehittyvä!N37="x","Kyllä","Ei")</f>
        <v>Ei</v>
      </c>
      <c r="E142" s="1" t="str">
        <f>IF(ISBLANK(Kestävä_ja_kehittyvä!K37),"_Otsikkorivi",Kestävä_ja_kehittyvä!K37)</f>
        <v>Kestävä ja kehittyvä</v>
      </c>
      <c r="F142" s="1" t="str">
        <f>Kestävä_ja_kehittyvä!L37</f>
        <v>11. Asiakaspalvelu ja viestintä on suunniteltua ja läpinäkyvää</v>
      </c>
      <c r="G142" s="8" t="str">
        <f>IF(ISBLANK(Kestävä_ja_kehittyvä!R37),"Otsikkorivi",Kestävä_ja_kehittyvä!R37)</f>
        <v>11.8 Käytössä liittyjäkohtainen kuluttajaviestintä (esim. tekstiviesti-ilmoitus)</v>
      </c>
      <c r="H142" s="1" t="str">
        <f>IF(ISBLANK(Kestävä_ja_kehittyvä!S37),"",Kestävä_ja_kehittyvä!S37)</f>
        <v/>
      </c>
    </row>
    <row r="143" spans="1:8" ht="30" x14ac:dyDescent="0.25">
      <c r="A143" s="1" t="str">
        <f>Kestävä_ja_kehittyvä!I38</f>
        <v>Ei kuulu</v>
      </c>
      <c r="B143" s="1" t="str">
        <f>Kestävä_ja_kehittyvä!P38</f>
        <v/>
      </c>
      <c r="C143" s="1" t="str">
        <f t="shared" si="3"/>
        <v>Ei</v>
      </c>
      <c r="D143" s="1" t="str">
        <f>IF(Kestävä_ja_kehittyvä!N38="x","Kyllä","Ei")</f>
        <v>Ei</v>
      </c>
      <c r="E143" s="1" t="str">
        <f>IF(ISBLANK(Kestävä_ja_kehittyvä!K38),"_Otsikkorivi",Kestävä_ja_kehittyvä!K38)</f>
        <v>Kestävä ja kehittyvä</v>
      </c>
      <c r="F143" s="1" t="str">
        <f>Kestävä_ja_kehittyvä!L38</f>
        <v>11. Asiakaspalvelu ja viestintä on suunniteltua ja läpinäkyvää</v>
      </c>
      <c r="G143" s="8" t="str">
        <f>IF(ISBLANK(Kestävä_ja_kehittyvä!R38),"Otsikkorivi",Kestävä_ja_kehittyvä!R38)</f>
        <v>11.9 Sijaintitiedon kannalta oleelliset asiakasvalitukset hallinnoidaan paikkatietona. (esim. johtotietojärjestelmä, kunnossapitojärjestelmä)</v>
      </c>
      <c r="H143" s="1" t="str">
        <f>IF(ISBLANK(Kestävä_ja_kehittyvä!S38),"",Kestävä_ja_kehittyvä!S38)</f>
        <v/>
      </c>
    </row>
    <row r="144" spans="1:8" x14ac:dyDescent="0.25">
      <c r="A144" s="1" t="str">
        <f>Kestävä_ja_kehittyvä!I39</f>
        <v>Ei kuulu</v>
      </c>
      <c r="B144" s="1" t="str">
        <f>Kestävä_ja_kehittyvä!P39</f>
        <v/>
      </c>
      <c r="C144" s="1" t="str">
        <f t="shared" si="3"/>
        <v>Ei</v>
      </c>
      <c r="D144" s="1" t="str">
        <f>IF(Kestävä_ja_kehittyvä!N39="x","Kyllä","Ei")</f>
        <v>Ei</v>
      </c>
      <c r="E144" s="1" t="str">
        <f>IF(ISBLANK(Kestävä_ja_kehittyvä!K39),"_Otsikkorivi",Kestävä_ja_kehittyvä!K39)</f>
        <v>Kestävä ja kehittyvä</v>
      </c>
      <c r="F144" s="1" t="str">
        <f>Kestävä_ja_kehittyvä!L39</f>
        <v>11. Asiakaspalvelu ja viestintä on suunniteltua ja läpinäkyvää</v>
      </c>
      <c r="G144" s="8" t="str">
        <f>IF(ISBLANK(Kestävä_ja_kehittyvä!R39),"Otsikkorivi",Kestävä_ja_kehittyvä!R39)</f>
        <v>11.10 Asiakastyytyväisyyden tulos tasolla vähintään hyvä.</v>
      </c>
      <c r="H144" s="1" t="str">
        <f>IF(ISBLANK(Kestävä_ja_kehittyvä!S39),"",Kestävä_ja_kehittyvä!S39)</f>
        <v/>
      </c>
    </row>
    <row r="145" spans="1:8" ht="30" x14ac:dyDescent="0.25">
      <c r="A145" s="1" t="str">
        <f>Kestävä_ja_kehittyvä!I40</f>
        <v>Ei kuulu</v>
      </c>
      <c r="B145" s="1" t="str">
        <f>Kestävä_ja_kehittyvä!P40</f>
        <v/>
      </c>
      <c r="C145" s="1" t="str">
        <f t="shared" si="3"/>
        <v>Ei</v>
      </c>
      <c r="D145" s="1" t="str">
        <f>IF(Kestävä_ja_kehittyvä!N40="x","Kyllä","Ei")</f>
        <v>Ei</v>
      </c>
      <c r="E145" s="1" t="str">
        <f>IF(ISBLANK(Kestävä_ja_kehittyvä!K40),"_Otsikkorivi",Kestävä_ja_kehittyvä!K40)</f>
        <v>Kestävä ja kehittyvä</v>
      </c>
      <c r="F145" s="1" t="str">
        <f>Kestävä_ja_kehittyvä!L40</f>
        <v>11. Asiakaspalvelu ja viestintä on suunniteltua ja läpinäkyvää</v>
      </c>
      <c r="G145" s="8" t="str">
        <f>IF(ISBLANK(Kestävä_ja_kehittyvä!R40),"Otsikkorivi",Kestävä_ja_kehittyvä!R40)</f>
        <v>11.11 Asiakaspalvelua kehitetään asiakastyytyväisyyskyselyjen lisäksi yhteistyössä asiakkaiden kanssa. (esim. säännöllinen asiakasfoorumi, isännöitsijätapaamiset)</v>
      </c>
      <c r="H145" s="1" t="str">
        <f>IF(ISBLANK(Kestävä_ja_kehittyvä!S40),"",Kestävä_ja_kehittyvä!S40)</f>
        <v/>
      </c>
    </row>
    <row r="146" spans="1:8" x14ac:dyDescent="0.25">
      <c r="A146" s="1" t="str">
        <f>Kestävä_ja_kehittyvä!I41</f>
        <v>Ei kuulu</v>
      </c>
      <c r="B146" s="1" t="str">
        <f>Kestävä_ja_kehittyvä!P41</f>
        <v/>
      </c>
      <c r="C146" s="1" t="str">
        <f t="shared" si="3"/>
        <v>Ei</v>
      </c>
      <c r="D146" s="1" t="str">
        <f>IF(Kestävä_ja_kehittyvä!N41="x","Kyllä","Ei")</f>
        <v>Ei</v>
      </c>
      <c r="E146" s="1" t="str">
        <f>IF(ISBLANK(Kestävä_ja_kehittyvä!K41),"_Otsikkorivi",Kestävä_ja_kehittyvä!K41)</f>
        <v>Kestävä ja kehittyvä</v>
      </c>
      <c r="F146" s="1" t="str">
        <f>Kestävä_ja_kehittyvä!L41</f>
        <v>11. Asiakaspalvelu ja viestintä on suunniteltua ja läpinäkyvää</v>
      </c>
      <c r="G146" s="8" t="str">
        <f>IF(ISBLANK(Kestävä_ja_kehittyvä!R41),"Otsikkorivi",Kestävä_ja_kehittyvä!R41)</f>
        <v>11.12 Asiakaspalvelulle on määritelty palvelutaso normaalitoiminnassa ja häiriötilanteissa.</v>
      </c>
      <c r="H146" s="1" t="str">
        <f>IF(ISBLANK(Kestävä_ja_kehittyvä!S41),"",Kestävä_ja_kehittyvä!S41)</f>
        <v/>
      </c>
    </row>
    <row r="147" spans="1:8" x14ac:dyDescent="0.25">
      <c r="A147" s="1" t="str">
        <f>Kestävä_ja_kehittyvä!I42</f>
        <v>Ei kuulu</v>
      </c>
      <c r="B147" s="1" t="str">
        <f>Kestävä_ja_kehittyvä!P42</f>
        <v/>
      </c>
      <c r="C147" s="1" t="str">
        <f t="shared" si="3"/>
        <v>Ei</v>
      </c>
      <c r="D147" s="1" t="str">
        <f>IF(Kestävä_ja_kehittyvä!N42="x","Kyllä","Ei")</f>
        <v>Ei</v>
      </c>
      <c r="E147" s="1" t="str">
        <f>IF(ISBLANK(Kestävä_ja_kehittyvä!K42),"_Otsikkorivi",Kestävä_ja_kehittyvä!K42)</f>
        <v>Kestävä ja kehittyvä</v>
      </c>
      <c r="F147" s="1" t="str">
        <f>Kestävä_ja_kehittyvä!L42</f>
        <v>11. Asiakaspalvelu ja viestintä on suunniteltua ja läpinäkyvää</v>
      </c>
      <c r="G147" s="8" t="str">
        <f>IF(ISBLANK(Kestävä_ja_kehittyvä!R42),"Otsikkorivi",Kestävä_ja_kehittyvä!R42)</f>
        <v>11.13 Asiakastyytyväisyyden jatkuva seuranta aina asiakaskohtaamisen yhteydessä</v>
      </c>
      <c r="H147" s="1" t="str">
        <f>IF(ISBLANK(Kestävä_ja_kehittyvä!S42),"",Kestävä_ja_kehittyvä!S42)</f>
        <v/>
      </c>
    </row>
    <row r="148" spans="1:8" ht="30" x14ac:dyDescent="0.25">
      <c r="A148" s="1" t="str">
        <f>Kestävä_ja_kehittyvä!I43</f>
        <v>Ei kuulu</v>
      </c>
      <c r="B148" s="1" t="str">
        <f>Kestävä_ja_kehittyvä!P43</f>
        <v/>
      </c>
      <c r="C148" s="1" t="str">
        <f t="shared" si="3"/>
        <v>Ei</v>
      </c>
      <c r="D148" s="1" t="str">
        <f>IF(Kestävä_ja_kehittyvä!N43="x","Kyllä","Ei")</f>
        <v>Ei</v>
      </c>
      <c r="E148" s="1" t="str">
        <f>IF(ISBLANK(Kestävä_ja_kehittyvä!K43),"_Otsikkorivi",Kestävä_ja_kehittyvä!K43)</f>
        <v>Kestävä ja kehittyvä</v>
      </c>
      <c r="F148" s="1" t="str">
        <f>Kestävä_ja_kehittyvä!L43</f>
        <v>11. Asiakaspalvelu ja viestintä on suunniteltua ja läpinäkyvää</v>
      </c>
      <c r="G148" s="8" t="str">
        <f>IF(ISBLANK(Kestävä_ja_kehittyvä!R43),"Otsikkorivi",Kestävä_ja_kehittyvä!R43)</f>
        <v>11.14 Asiakkaille tarjotaan kohderyhmittäin räätälöityjä lisäpalveluja kulutustietojen, asioinnin yms. suhteen, esim. etäluenta, ladattava äppi tms.</v>
      </c>
      <c r="H148" s="1" t="str">
        <f>IF(ISBLANK(Kestävä_ja_kehittyvä!S43),"",Kestävä_ja_kehittyvä!S43)</f>
        <v/>
      </c>
    </row>
  </sheetData>
  <mergeCells count="1">
    <mergeCell ref="A5:C5"/>
  </mergeCells>
  <dataValidations count="1">
    <dataValidation allowBlank="1" showInputMessage="1" showErrorMessage="1" promptTitle="Huoltovarmuuskriteeri" prompt="Tämä sarake näyttää, onko kyse huoltovarmuuskriteeristä." sqref="D6" xr:uid="{DA57455D-85A0-4FA8-8052-56AD8E1047E3}"/>
  </dataValidations>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1682-190F-4610-A769-5A79F405C96E}">
  <sheetPr>
    <tabColor rgb="FFF3497E"/>
  </sheetPr>
  <dimension ref="A1:L148"/>
  <sheetViews>
    <sheetView showGridLines="0" topLeftCell="D1" workbookViewId="0">
      <pane ySplit="6" topLeftCell="A7" activePane="bottomLeft" state="frozen"/>
      <selection activeCell="D1" sqref="D1"/>
      <selection pane="bottomLeft" activeCell="H1" sqref="H1"/>
    </sheetView>
  </sheetViews>
  <sheetFormatPr defaultColWidth="8.85546875" defaultRowHeight="15" x14ac:dyDescent="0.25"/>
  <cols>
    <col min="1" max="2" width="7.85546875" style="1" hidden="1" customWidth="1"/>
    <col min="3" max="3" width="8.85546875" style="1" hidden="1" customWidth="1"/>
    <col min="4" max="4" width="5.5703125" style="1" customWidth="1"/>
    <col min="5" max="5" width="25.140625" style="1" customWidth="1"/>
    <col min="6" max="6" width="19.5703125" style="1" customWidth="1"/>
    <col min="7" max="7" width="126.42578125" style="8" customWidth="1"/>
    <col min="8" max="8" width="10.140625" style="1" bestFit="1" customWidth="1"/>
    <col min="9" max="9" width="9.85546875" style="1" customWidth="1"/>
    <col min="10" max="11" width="8.85546875" style="1"/>
    <col min="12" max="12" width="3.42578125" style="1" customWidth="1"/>
    <col min="13" max="16384" width="8.85546875" style="1"/>
  </cols>
  <sheetData>
    <row r="1" spans="1:12" ht="24" x14ac:dyDescent="0.25">
      <c r="A1" s="78"/>
      <c r="B1" s="78"/>
      <c r="C1" s="78"/>
      <c r="D1" s="79" t="s">
        <v>192</v>
      </c>
      <c r="E1" s="78"/>
      <c r="F1" s="78"/>
      <c r="G1" s="80"/>
      <c r="H1" s="78"/>
      <c r="I1" s="136"/>
      <c r="J1" s="136"/>
      <c r="K1" s="136"/>
      <c r="L1" s="136"/>
    </row>
    <row r="2" spans="1:12" x14ac:dyDescent="0.25">
      <c r="A2" s="78"/>
      <c r="B2" s="78"/>
      <c r="C2" s="78"/>
      <c r="D2" s="78" t="s">
        <v>258</v>
      </c>
      <c r="E2" s="78"/>
      <c r="F2" s="78"/>
      <c r="G2" s="80"/>
      <c r="H2" s="78"/>
      <c r="I2" s="136"/>
      <c r="J2" s="136"/>
      <c r="K2" s="136"/>
      <c r="L2" s="136"/>
    </row>
    <row r="3" spans="1:12" x14ac:dyDescent="0.25">
      <c r="A3" s="78"/>
      <c r="B3" s="78"/>
      <c r="C3" s="78"/>
      <c r="D3" s="81" t="s">
        <v>267</v>
      </c>
      <c r="E3" s="78"/>
      <c r="F3" s="78"/>
      <c r="G3" s="80"/>
      <c r="H3" s="78"/>
      <c r="I3" s="136"/>
      <c r="J3" s="136"/>
      <c r="K3" s="136"/>
      <c r="L3" s="136"/>
    </row>
    <row r="4" spans="1:12" x14ac:dyDescent="0.25">
      <c r="A4" s="78"/>
      <c r="B4" s="78"/>
      <c r="C4" s="78"/>
      <c r="D4" s="138" t="s">
        <v>244</v>
      </c>
      <c r="E4" s="78"/>
      <c r="F4" s="78"/>
      <c r="G4" s="80"/>
      <c r="H4" s="78"/>
      <c r="I4" s="136"/>
      <c r="J4" s="136"/>
      <c r="K4" s="136"/>
      <c r="L4" s="136"/>
    </row>
    <row r="5" spans="1:12" x14ac:dyDescent="0.25">
      <c r="A5" s="181" t="s">
        <v>266</v>
      </c>
      <c r="B5" s="181"/>
      <c r="C5" s="181"/>
      <c r="D5" s="78"/>
      <c r="E5" s="78"/>
      <c r="F5" s="78"/>
      <c r="G5" s="80"/>
      <c r="H5" s="78"/>
      <c r="I5" s="136"/>
      <c r="J5" s="136"/>
      <c r="K5" s="136"/>
      <c r="L5" s="136"/>
    </row>
    <row r="6" spans="1:12" x14ac:dyDescent="0.25">
      <c r="A6" s="76" t="s">
        <v>240</v>
      </c>
      <c r="B6" s="76" t="s">
        <v>237</v>
      </c>
      <c r="C6" s="162" t="s">
        <v>243</v>
      </c>
      <c r="D6" s="76" t="s">
        <v>242</v>
      </c>
      <c r="E6" s="76" t="s">
        <v>1</v>
      </c>
      <c r="F6" s="76" t="s">
        <v>229</v>
      </c>
      <c r="G6" s="77" t="s">
        <v>230</v>
      </c>
      <c r="H6" s="76" t="s">
        <v>231</v>
      </c>
      <c r="I6" s="136"/>
      <c r="J6" s="136"/>
      <c r="K6" s="136"/>
      <c r="L6" s="136"/>
    </row>
    <row r="7" spans="1:12" x14ac:dyDescent="0.25">
      <c r="A7" s="1" t="str">
        <f>Turvallinen_ja_toimintavarma!I5</f>
        <v>Ei kuulu</v>
      </c>
      <c r="B7" s="1" t="str">
        <f>Turvallinen_ja_toimintavarma!P5</f>
        <v/>
      </c>
      <c r="C7" s="163" t="str">
        <f>IF(AND(A7="Kuuluu",H7="Ei",B7&lt;&gt;"Extra"),"Kyllä","Ei")</f>
        <v>Ei</v>
      </c>
      <c r="D7" s="1" t="str">
        <f>KorjattavaaTaulukko[[#This Row],[Huoltovarmuuskriteeri]]</f>
        <v>Ei</v>
      </c>
      <c r="E7" s="1" t="str">
        <f>KorjattavaaTaulukko[[#This Row],[Pääkategoria]]</f>
        <v>Turvallinen ja toimintavarma</v>
      </c>
      <c r="F7" s="1" t="str">
        <f>KorjattavaaTaulukko[[#This Row],[Alakategoria]]</f>
        <v>_Otsikkorivi</v>
      </c>
      <c r="G7" s="1" t="str">
        <f>KorjattavaaTaulukko[[#This Row],[Arviointikriteeri]]</f>
        <v>1. Laadukas, raakaveden laadun huomioiva, kriteerit täyttävä vedenkäsittelyprosessi</v>
      </c>
      <c r="H7" s="1" t="str">
        <f>KorjattavaaTaulukko[[#This Row],[Vastaus ]]</f>
        <v/>
      </c>
    </row>
    <row r="8" spans="1:12" x14ac:dyDescent="0.25">
      <c r="A8" s="1" t="str">
        <f>Turvallinen_ja_toimintavarma!I6</f>
        <v>Ei kuulu</v>
      </c>
      <c r="B8" s="1" t="str">
        <f>Turvallinen_ja_toimintavarma!P6</f>
        <v/>
      </c>
      <c r="C8" s="163" t="str">
        <f t="shared" ref="C8:C71" si="0">IF(AND(A8="Kuuluu",H8="Ei",B8&lt;&gt;"Extra"),"Kyllä","Ei")</f>
        <v>Ei</v>
      </c>
      <c r="D8" s="1" t="str">
        <f>KorjattavaaTaulukko[[#This Row],[Huoltovarmuuskriteeri]]</f>
        <v>Kyllä</v>
      </c>
      <c r="E8" s="1" t="str">
        <f>KorjattavaaTaulukko[[#This Row],[Pääkategoria]]</f>
        <v>Turvallinen ja toimintavarma</v>
      </c>
      <c r="F8" s="1" t="str">
        <f>KorjattavaaTaulukko[[#This Row],[Alakategoria]]</f>
        <v>1. Laadukas, raakaveden laadun huomioiva, kriteerit täyttävä vedenkäsittelyprosessi</v>
      </c>
      <c r="G8" s="1" t="str">
        <f>KorjattavaaTaulukko[[#This Row],[Arviointikriteeri]]</f>
        <v>1.1 Vesilaitoksella on valmius aloittaa tai järjestää klooridesinfiointi 6 h sisällä talousvesiasetuksen (1352/2015) 20 a pykälän edellyttämällä tavalla.</v>
      </c>
      <c r="H8" s="1" t="str">
        <f>KorjattavaaTaulukko[[#This Row],[Vastaus ]]</f>
        <v/>
      </c>
    </row>
    <row r="9" spans="1:12" x14ac:dyDescent="0.25">
      <c r="A9" s="1" t="str">
        <f>Turvallinen_ja_toimintavarma!I7</f>
        <v>Ei kuulu</v>
      </c>
      <c r="B9" s="1" t="str">
        <f>Turvallinen_ja_toimintavarma!P7</f>
        <v/>
      </c>
      <c r="C9" s="163" t="str">
        <f t="shared" si="0"/>
        <v>Ei</v>
      </c>
      <c r="D9" s="1" t="str">
        <f>KorjattavaaTaulukko[[#This Row],[Huoltovarmuuskriteeri]]</f>
        <v>Kyllä</v>
      </c>
      <c r="E9" s="1" t="str">
        <f>KorjattavaaTaulukko[[#This Row],[Pääkategoria]]</f>
        <v>Turvallinen ja toimintavarma</v>
      </c>
      <c r="F9" s="1" t="str">
        <f>KorjattavaaTaulukko[[#This Row],[Alakategoria]]</f>
        <v>1. Laadukas, raakaveden laadun huomioiva, kriteerit täyttävä vedenkäsittelyprosessi</v>
      </c>
      <c r="G9" s="1" t="str">
        <f>KorjattavaaTaulukko[[#This Row],[Arviointikriteeri]]</f>
        <v>1.2 Klooridesinfiointia testataan säännöllisesti.</v>
      </c>
      <c r="H9" s="1" t="str">
        <f>KorjattavaaTaulukko[[#This Row],[Vastaus ]]</f>
        <v/>
      </c>
    </row>
    <row r="10" spans="1:12" x14ac:dyDescent="0.25">
      <c r="A10" s="1" t="str">
        <f>Turvallinen_ja_toimintavarma!I8</f>
        <v>Ei kuulu</v>
      </c>
      <c r="B10" s="1" t="str">
        <f>Turvallinen_ja_toimintavarma!P8</f>
        <v/>
      </c>
      <c r="C10" s="163" t="str">
        <f t="shared" si="0"/>
        <v>Ei</v>
      </c>
      <c r="D10" s="1" t="str">
        <f>KorjattavaaTaulukko[[#This Row],[Huoltovarmuuskriteeri]]</f>
        <v>Kyllä</v>
      </c>
      <c r="E10" s="1" t="str">
        <f>KorjattavaaTaulukko[[#This Row],[Pääkategoria]]</f>
        <v>Turvallinen ja toimintavarma</v>
      </c>
      <c r="F10" s="1" t="str">
        <f>KorjattavaaTaulukko[[#This Row],[Alakategoria]]</f>
        <v>1. Laadukas, raakaveden laadun huomioiva, kriteerit täyttävä vedenkäsittelyprosessi</v>
      </c>
      <c r="G10" s="1" t="str">
        <f>KorjattavaaTaulukko[[#This Row],[Arviointikriteeri]]</f>
        <v>1.3 Laatuvaatimukset täyttävä vedenlaatu (100 % näytteistä)</v>
      </c>
      <c r="H10" s="1" t="str">
        <f>KorjattavaaTaulukko[[#This Row],[Vastaus ]]</f>
        <v/>
      </c>
    </row>
    <row r="11" spans="1:12" x14ac:dyDescent="0.25">
      <c r="A11" s="1" t="str">
        <f>Turvallinen_ja_toimintavarma!I9</f>
        <v>Ei kuulu</v>
      </c>
      <c r="B11" s="1" t="str">
        <f>Turvallinen_ja_toimintavarma!P9</f>
        <v/>
      </c>
      <c r="C11" s="163" t="str">
        <f t="shared" si="0"/>
        <v>Ei</v>
      </c>
      <c r="D11" s="1" t="str">
        <f>KorjattavaaTaulukko[[#This Row],[Huoltovarmuuskriteeri]]</f>
        <v>Ei</v>
      </c>
      <c r="E11" s="1" t="str">
        <f>KorjattavaaTaulukko[[#This Row],[Pääkategoria]]</f>
        <v>Turvallinen ja toimintavarma</v>
      </c>
      <c r="F11" s="1" t="str">
        <f>KorjattavaaTaulukko[[#This Row],[Alakategoria]]</f>
        <v>1. Laadukas, raakaveden laadun huomioiva, kriteerit täyttävä vedenkäsittelyprosessi</v>
      </c>
      <c r="G11" s="1" t="str">
        <f>KorjattavaaTaulukko[[#This Row],[Arviointikriteeri]]</f>
        <v>1.4 Laatutavoitteet täyttävä vedenlaatu (100 % näytteistä)</v>
      </c>
      <c r="H11" s="1" t="str">
        <f>KorjattavaaTaulukko[[#This Row],[Vastaus ]]</f>
        <v/>
      </c>
    </row>
    <row r="12" spans="1:12" x14ac:dyDescent="0.25">
      <c r="A12" s="1" t="str">
        <f>Turvallinen_ja_toimintavarma!I10</f>
        <v>Ei kuulu</v>
      </c>
      <c r="B12" s="1" t="str">
        <f>Turvallinen_ja_toimintavarma!P10</f>
        <v/>
      </c>
      <c r="C12" s="163" t="str">
        <f t="shared" si="0"/>
        <v>Ei</v>
      </c>
      <c r="D12" s="1" t="str">
        <f>KorjattavaaTaulukko[[#This Row],[Huoltovarmuuskriteeri]]</f>
        <v>Ei</v>
      </c>
      <c r="E12" s="1" t="str">
        <f>KorjattavaaTaulukko[[#This Row],[Pääkategoria]]</f>
        <v>Turvallinen ja toimintavarma</v>
      </c>
      <c r="F12" s="1" t="str">
        <f>KorjattavaaTaulukko[[#This Row],[Alakategoria]]</f>
        <v>1. Laadukas, raakaveden laadun huomioiva, kriteerit täyttävä vedenkäsittelyprosessi</v>
      </c>
      <c r="G12" s="1" t="str">
        <f>KorjattavaaTaulukko[[#This Row],[Arviointikriteeri]]</f>
        <v>1.5 Vesijohtoverkoston paineettomissa putkirikkokorjauksissa rikkoutunut putkilinjaosuus desinfioidaan tai varmistetaan verkoston mikrobiologinen puhtaus tutkimuksin ennen käyttöönottoa.</v>
      </c>
      <c r="H12" s="1" t="str">
        <f>KorjattavaaTaulukko[[#This Row],[Vastaus ]]</f>
        <v/>
      </c>
    </row>
    <row r="13" spans="1:12" x14ac:dyDescent="0.25">
      <c r="A13" s="1" t="str">
        <f>Turvallinen_ja_toimintavarma!I11</f>
        <v>Ei kuulu</v>
      </c>
      <c r="B13" s="1" t="str">
        <f>Turvallinen_ja_toimintavarma!P11</f>
        <v/>
      </c>
      <c r="C13" s="163" t="str">
        <f t="shared" si="0"/>
        <v>Ei</v>
      </c>
      <c r="D13" s="1" t="str">
        <f>KorjattavaaTaulukko[[#This Row],[Huoltovarmuuskriteeri]]</f>
        <v>Ei</v>
      </c>
      <c r="E13" s="1" t="str">
        <f>KorjattavaaTaulukko[[#This Row],[Pääkategoria]]</f>
        <v>Turvallinen ja toimintavarma</v>
      </c>
      <c r="F13" s="1" t="str">
        <f>KorjattavaaTaulukko[[#This Row],[Alakategoria]]</f>
        <v>1. Laadukas, raakaveden laadun huomioiva, kriteerit täyttävä vedenkäsittelyprosessi</v>
      </c>
      <c r="G13" s="1" t="str">
        <f>KorjattavaaTaulukko[[#This Row],[Arviointikriteeri]]</f>
        <v>1.6 Vedenjakeluverkoston näytteenottopisteiden edustavuus valvontatutkimusohjelmassa on säännöllisesti varmistettu alueelliset erityispiirteet ja WSP:n tulokset huomioon ottaen.</v>
      </c>
      <c r="H13" s="1" t="str">
        <f>KorjattavaaTaulukko[[#This Row],[Vastaus ]]</f>
        <v/>
      </c>
    </row>
    <row r="14" spans="1:12" x14ac:dyDescent="0.25">
      <c r="A14" s="1" t="str">
        <f>Turvallinen_ja_toimintavarma!I12</f>
        <v>Ei kuulu</v>
      </c>
      <c r="B14" s="1" t="str">
        <f>Turvallinen_ja_toimintavarma!P12</f>
        <v/>
      </c>
      <c r="C14" s="163" t="str">
        <f t="shared" si="0"/>
        <v>Ei</v>
      </c>
      <c r="D14" s="1" t="str">
        <f>KorjattavaaTaulukko[[#This Row],[Huoltovarmuuskriteeri]]</f>
        <v>Ei</v>
      </c>
      <c r="E14" s="1" t="str">
        <f>KorjattavaaTaulukko[[#This Row],[Pääkategoria]]</f>
        <v>Turvallinen ja toimintavarma</v>
      </c>
      <c r="F14" s="1" t="str">
        <f>KorjattavaaTaulukko[[#This Row],[Alakategoria]]</f>
        <v>1. Laadukas, raakaveden laadun huomioiva, kriteerit täyttävä vedenkäsittelyprosessi</v>
      </c>
      <c r="G14" s="1" t="str">
        <f>KorjattavaaTaulukko[[#This Row],[Arviointikriteeri]]</f>
        <v>1.7 Talousvesi desinfioidaan jatkuvatoimisesti ennen johtamista vedenjakeluverkostoon tai vesihuoltolaitos on tehnyt riskiarvion, jonka perusteella jatkuvatoimiselle talousveden desinfioinnille ei ole tarvetta</v>
      </c>
      <c r="H14" s="1" t="str">
        <f>KorjattavaaTaulukko[[#This Row],[Vastaus ]]</f>
        <v/>
      </c>
    </row>
    <row r="15" spans="1:12" x14ac:dyDescent="0.25">
      <c r="A15" s="1" t="str">
        <f>Turvallinen_ja_toimintavarma!I13</f>
        <v>Ei kuulu</v>
      </c>
      <c r="B15" s="1" t="str">
        <f>Turvallinen_ja_toimintavarma!P13</f>
        <v/>
      </c>
      <c r="C15" s="163" t="str">
        <f t="shared" si="0"/>
        <v>Ei</v>
      </c>
      <c r="D15" s="1" t="str">
        <f>KorjattavaaTaulukko[[#This Row],[Huoltovarmuuskriteeri]]</f>
        <v>Ei</v>
      </c>
      <c r="E15" s="1" t="str">
        <f>KorjattavaaTaulukko[[#This Row],[Pääkategoria]]</f>
        <v>Turvallinen ja toimintavarma</v>
      </c>
      <c r="F15" s="1" t="str">
        <f>KorjattavaaTaulukko[[#This Row],[Alakategoria]]</f>
        <v>1. Laadukas, raakaveden laadun huomioiva, kriteerit täyttävä vedenkäsittelyprosessi</v>
      </c>
      <c r="G15" s="1" t="str">
        <f>KorjattavaaTaulukko[[#This Row],[Arviointikriteeri]]</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5" s="1" t="str">
        <f>KorjattavaaTaulukko[[#This Row],[Vastaus ]]</f>
        <v/>
      </c>
    </row>
    <row r="16" spans="1:12" x14ac:dyDescent="0.25">
      <c r="A16" s="1" t="str">
        <f>Turvallinen_ja_toimintavarma!I14</f>
        <v>Ei kuulu</v>
      </c>
      <c r="B16" s="1" t="str">
        <f>Turvallinen_ja_toimintavarma!P14</f>
        <v/>
      </c>
      <c r="C16" s="163" t="str">
        <f t="shared" si="0"/>
        <v>Ei</v>
      </c>
      <c r="D16" s="1" t="str">
        <f>KorjattavaaTaulukko[[#This Row],[Huoltovarmuuskriteeri]]</f>
        <v>Kyllä</v>
      </c>
      <c r="E16" s="1" t="str">
        <f>KorjattavaaTaulukko[[#This Row],[Pääkategoria]]</f>
        <v>Turvallinen ja toimintavarma</v>
      </c>
      <c r="F16" s="1" t="str">
        <f>KorjattavaaTaulukko[[#This Row],[Alakategoria]]</f>
        <v>1. Laadukas, raakaveden laadun huomioiva, kriteerit täyttävä vedenkäsittelyprosessi</v>
      </c>
      <c r="G16" s="1" t="str">
        <f>KorjattavaaTaulukko[[#This Row],[Arviointikriteeri]]</f>
        <v>1.9 Talousveden käsittelyprosessin kriittisten toimintojen toimivuutta on varmistettu kahdentamalla (esim. laitteet, vaihtoehtoinen käsittelyprosessi/kemikaali/toimittaja)</v>
      </c>
      <c r="H16" s="1" t="str">
        <f>KorjattavaaTaulukko[[#This Row],[Vastaus ]]</f>
        <v/>
      </c>
    </row>
    <row r="17" spans="1:8" x14ac:dyDescent="0.25">
      <c r="A17" s="1" t="str">
        <f>Turvallinen_ja_toimintavarma!I15</f>
        <v>Ei kuulu</v>
      </c>
      <c r="B17" s="1" t="str">
        <f>Turvallinen_ja_toimintavarma!P15</f>
        <v/>
      </c>
      <c r="C17" s="163" t="str">
        <f t="shared" si="0"/>
        <v>Ei</v>
      </c>
      <c r="D17" s="1" t="str">
        <f>KorjattavaaTaulukko[[#This Row],[Huoltovarmuuskriteeri]]</f>
        <v>Ei</v>
      </c>
      <c r="E17" s="1" t="str">
        <f>KorjattavaaTaulukko[[#This Row],[Pääkategoria]]</f>
        <v>Turvallinen ja toimintavarma</v>
      </c>
      <c r="F17" s="1" t="str">
        <f>KorjattavaaTaulukko[[#This Row],[Alakategoria]]</f>
        <v>1. Laadukas, raakaveden laadun huomioiva, kriteerit täyttävä vedenkäsittelyprosessi</v>
      </c>
      <c r="G17" s="1" t="str">
        <f>KorjattavaaTaulukko[[#This Row],[Arviointikriteeri]]</f>
        <v>1.10. Vesilaitoksella on käytössä omassa tai ulkopuolisen hallinnassa oleva verkostomalli vedenjakelun varmistamiseen ja kehittämiseen.</v>
      </c>
      <c r="H17" s="1" t="str">
        <f>KorjattavaaTaulukko[[#This Row],[Vastaus ]]</f>
        <v/>
      </c>
    </row>
    <row r="18" spans="1:8" x14ac:dyDescent="0.25">
      <c r="A18" s="1" t="str">
        <f>Turvallinen_ja_toimintavarma!I16</f>
        <v>Ei kuulu</v>
      </c>
      <c r="B18" s="1" t="str">
        <f>Turvallinen_ja_toimintavarma!P16</f>
        <v/>
      </c>
      <c r="C18" s="163" t="str">
        <f t="shared" si="0"/>
        <v>Ei</v>
      </c>
      <c r="D18" s="1" t="str">
        <f>KorjattavaaTaulukko[[#This Row],[Huoltovarmuuskriteeri]]</f>
        <v>Ei</v>
      </c>
      <c r="E18" s="1" t="str">
        <f>KorjattavaaTaulukko[[#This Row],[Pääkategoria]]</f>
        <v>Turvallinen ja toimintavarma</v>
      </c>
      <c r="F18" s="1" t="str">
        <f>KorjattavaaTaulukko[[#This Row],[Alakategoria]]</f>
        <v>1. Laadukas, raakaveden laadun huomioiva, kriteerit täyttävä vedenkäsittelyprosessi</v>
      </c>
      <c r="G18" s="1" t="str">
        <f>KorjattavaaTaulukko[[#This Row],[Arviointikriteeri]]</f>
        <v xml:space="preserve">1.11 Talousveden käsittelyprosessin poistoteho on kemiallisen saastumisen tilanteessa arvioitu ja prosessia voidaan tarvittaessa tehostaa. (esim. aktiivihiilen syöttö) </v>
      </c>
      <c r="H18" s="1" t="str">
        <f>KorjattavaaTaulukko[[#This Row],[Vastaus ]]</f>
        <v/>
      </c>
    </row>
    <row r="19" spans="1:8" x14ac:dyDescent="0.25">
      <c r="A19" s="1" t="str">
        <f>Turvallinen_ja_toimintavarma!I17</f>
        <v>Ei kuulu</v>
      </c>
      <c r="B19" s="1" t="str">
        <f>Turvallinen_ja_toimintavarma!P17</f>
        <v/>
      </c>
      <c r="C19" s="163" t="str">
        <f t="shared" si="0"/>
        <v>Ei</v>
      </c>
      <c r="D19" s="1" t="str">
        <f>KorjattavaaTaulukko[[#This Row],[Huoltovarmuuskriteeri]]</f>
        <v>Ei</v>
      </c>
      <c r="E19" s="1" t="str">
        <f>KorjattavaaTaulukko[[#This Row],[Pääkategoria]]</f>
        <v>Turvallinen ja toimintavarma</v>
      </c>
      <c r="F19" s="1" t="str">
        <f>KorjattavaaTaulukko[[#This Row],[Alakategoria]]</f>
        <v>_Otsikkorivi</v>
      </c>
      <c r="G19" s="1" t="str">
        <f>KorjattavaaTaulukko[[#This Row],[Arviointikriteeri]]</f>
        <v>2. Ajantasainen varautumis- ja valmiussuunnittelu ja yhteistyö muiden toimijoiden kanssa</v>
      </c>
      <c r="H19" s="1" t="str">
        <f>KorjattavaaTaulukko[[#This Row],[Vastaus ]]</f>
        <v/>
      </c>
    </row>
    <row r="20" spans="1:8" x14ac:dyDescent="0.25">
      <c r="A20" s="1" t="str">
        <f>Turvallinen_ja_toimintavarma!I18</f>
        <v>Ei kuulu</v>
      </c>
      <c r="B20" s="1" t="str">
        <f>Turvallinen_ja_toimintavarma!P18</f>
        <v/>
      </c>
      <c r="C20" s="163" t="str">
        <f t="shared" si="0"/>
        <v>Ei</v>
      </c>
      <c r="D20" s="1" t="str">
        <f>KorjattavaaTaulukko[[#This Row],[Huoltovarmuuskriteeri]]</f>
        <v>Kyllä</v>
      </c>
      <c r="E20" s="1" t="str">
        <f>KorjattavaaTaulukko[[#This Row],[Pääkategoria]]</f>
        <v>Turvallinen ja toimintavarma</v>
      </c>
      <c r="F20" s="1" t="str">
        <f>KorjattavaaTaulukko[[#This Row],[Alakategoria]]</f>
        <v>2. Ajantasainen varautumis- ja valmiussuunnittelu ja yhteistyö muiden toimijoiden kanssa</v>
      </c>
      <c r="G20" s="1" t="str">
        <f>KorjattavaaTaulukko[[#This Row],[Arviointikriteeri]]</f>
        <v>2.1 Vesihuoltolaitoksella on vähintään vuosittain arvioitava ja tarvittaessa päivitettävä varautumissuunnitelma</v>
      </c>
      <c r="H20" s="1" t="str">
        <f>KorjattavaaTaulukko[[#This Row],[Vastaus ]]</f>
        <v/>
      </c>
    </row>
    <row r="21" spans="1:8" x14ac:dyDescent="0.25">
      <c r="A21" s="1" t="str">
        <f>Turvallinen_ja_toimintavarma!I19</f>
        <v>Ei kuulu</v>
      </c>
      <c r="B21" s="1" t="str">
        <f>Turvallinen_ja_toimintavarma!P19</f>
        <v/>
      </c>
      <c r="C21" s="163" t="str">
        <f t="shared" si="0"/>
        <v>Ei</v>
      </c>
      <c r="D21" s="1" t="str">
        <f>KorjattavaaTaulukko[[#This Row],[Huoltovarmuuskriteeri]]</f>
        <v>Kyllä</v>
      </c>
      <c r="E21" s="1" t="str">
        <f>KorjattavaaTaulukko[[#This Row],[Pääkategoria]]</f>
        <v>Turvallinen ja toimintavarma</v>
      </c>
      <c r="F21" s="1" t="str">
        <f>KorjattavaaTaulukko[[#This Row],[Alakategoria]]</f>
        <v>2. Ajantasainen varautumis- ja valmiussuunnittelu ja yhteistyö muiden toimijoiden kanssa</v>
      </c>
      <c r="G21" s="1" t="str">
        <f>KorjattavaaTaulukko[[#This Row],[Arviointikriteeri]]</f>
        <v>2.2 Talousveden laaturiskejä arvioidaan ja riskienhallintaa kehitetään ja sen toimivuutta seurataan systemaattisesti esim. WSP-työkalun avulla</v>
      </c>
      <c r="H21" s="1" t="str">
        <f>KorjattavaaTaulukko[[#This Row],[Vastaus ]]</f>
        <v/>
      </c>
    </row>
    <row r="22" spans="1:8" x14ac:dyDescent="0.25">
      <c r="A22" s="1" t="str">
        <f>Turvallinen_ja_toimintavarma!I20</f>
        <v>Ei kuulu</v>
      </c>
      <c r="B22" s="1" t="str">
        <f>Turvallinen_ja_toimintavarma!P20</f>
        <v/>
      </c>
      <c r="C22" s="163" t="str">
        <f t="shared" si="0"/>
        <v>Ei</v>
      </c>
      <c r="D22" s="1" t="str">
        <f>KorjattavaaTaulukko[[#This Row],[Huoltovarmuuskriteeri]]</f>
        <v>Kyllä</v>
      </c>
      <c r="E22" s="1" t="str">
        <f>KorjattavaaTaulukko[[#This Row],[Pääkategoria]]</f>
        <v>Turvallinen ja toimintavarma</v>
      </c>
      <c r="F22" s="1" t="str">
        <f>KorjattavaaTaulukko[[#This Row],[Alakategoria]]</f>
        <v>2. Ajantasainen varautumis- ja valmiussuunnittelu ja yhteistyö muiden toimijoiden kanssa</v>
      </c>
      <c r="G22" s="1" t="str">
        <f>KorjattavaaTaulukko[[#This Row],[Arviointikriteeri]]</f>
        <v>2.3 Viemäröinnin ja jätevedenpuhdistuksen ympäristö- ja terveysriskejä arvioidaan ja riskienhallintaa kehitetään systemaattisesti esim. SSP-työkalun avulla</v>
      </c>
      <c r="H22" s="1" t="str">
        <f>KorjattavaaTaulukko[[#This Row],[Vastaus ]]</f>
        <v/>
      </c>
    </row>
    <row r="23" spans="1:8" x14ac:dyDescent="0.25">
      <c r="A23" s="1" t="str">
        <f>Turvallinen_ja_toimintavarma!I21</f>
        <v>Ei kuulu</v>
      </c>
      <c r="B23" s="1" t="str">
        <f>Turvallinen_ja_toimintavarma!P21</f>
        <v/>
      </c>
      <c r="C23" s="163" t="str">
        <f t="shared" si="0"/>
        <v>Ei</v>
      </c>
      <c r="D23" s="1" t="str">
        <f>KorjattavaaTaulukko[[#This Row],[Huoltovarmuuskriteeri]]</f>
        <v>Kyllä</v>
      </c>
      <c r="E23" s="1" t="str">
        <f>KorjattavaaTaulukko[[#This Row],[Pääkategoria]]</f>
        <v>Turvallinen ja toimintavarma</v>
      </c>
      <c r="F23" s="1" t="str">
        <f>KorjattavaaTaulukko[[#This Row],[Alakategoria]]</f>
        <v>2. Ajantasainen varautumis- ja valmiussuunnittelu ja yhteistyö muiden toimijoiden kanssa</v>
      </c>
      <c r="G23" s="1" t="str">
        <f>KorjattavaaTaulukko[[#This Row],[Arviointikriteeri]]</f>
        <v>2.4 Vesihuoltolaitoksella on tehty häiriötilanneharjoittelu vuoden sisällä yhdessä sidosryhmien kanssa (tai 3 vuoden sisällä jos ei omaa vedentuotantoa)</v>
      </c>
      <c r="H23" s="1" t="str">
        <f>KorjattavaaTaulukko[[#This Row],[Vastaus ]]</f>
        <v/>
      </c>
    </row>
    <row r="24" spans="1:8" x14ac:dyDescent="0.25">
      <c r="A24" s="1" t="str">
        <f>Turvallinen_ja_toimintavarma!I22</f>
        <v>Ei kuulu</v>
      </c>
      <c r="B24" s="1" t="str">
        <f>Turvallinen_ja_toimintavarma!P22</f>
        <v/>
      </c>
      <c r="C24" s="163" t="str">
        <f t="shared" si="0"/>
        <v>Ei</v>
      </c>
      <c r="D24" s="1" t="str">
        <f>KorjattavaaTaulukko[[#This Row],[Huoltovarmuuskriteeri]]</f>
        <v>Kyllä</v>
      </c>
      <c r="E24" s="1" t="str">
        <f>KorjattavaaTaulukko[[#This Row],[Pääkategoria]]</f>
        <v>Turvallinen ja toimintavarma</v>
      </c>
      <c r="F24" s="1" t="str">
        <f>KorjattavaaTaulukko[[#This Row],[Alakategoria]]</f>
        <v>2. Ajantasainen varautumis- ja valmiussuunnittelu ja yhteistyö muiden toimijoiden kanssa</v>
      </c>
      <c r="G24" s="1" t="str">
        <f>KorjattavaaTaulukko[[#This Row],[Arviointikriteeri]]</f>
        <v>2.5 Vesihuoltopalvelun jatkuvuuden kannalta kriittiset perustoiminnot (esim. veden hankinta, veden käsittely, viemäröinti, jäteveden käsittely jne.) on tunnistettu.</v>
      </c>
      <c r="H24" s="1" t="str">
        <f>KorjattavaaTaulukko[[#This Row],[Vastaus ]]</f>
        <v/>
      </c>
    </row>
    <row r="25" spans="1:8" x14ac:dyDescent="0.25">
      <c r="A25" s="1" t="str">
        <f>Turvallinen_ja_toimintavarma!I23</f>
        <v>Ei kuulu</v>
      </c>
      <c r="B25" s="1" t="str">
        <f>Turvallinen_ja_toimintavarma!P23</f>
        <v/>
      </c>
      <c r="C25" s="163" t="str">
        <f t="shared" si="0"/>
        <v>Ei</v>
      </c>
      <c r="D25" s="1" t="str">
        <f>KorjattavaaTaulukko[[#This Row],[Huoltovarmuuskriteeri]]</f>
        <v>Kyllä</v>
      </c>
      <c r="E25" s="1" t="str">
        <f>KorjattavaaTaulukko[[#This Row],[Pääkategoria]]</f>
        <v>Turvallinen ja toimintavarma</v>
      </c>
      <c r="F25" s="1" t="str">
        <f>KorjattavaaTaulukko[[#This Row],[Alakategoria]]</f>
        <v>2. Ajantasainen varautumis- ja valmiussuunnittelu ja yhteistyö muiden toimijoiden kanssa</v>
      </c>
      <c r="G25" s="1" t="str">
        <f>KorjattavaaTaulukko[[#This Row],[Arviointikriteeri]]</f>
        <v>2.6 Varavedenottamot, varavesilaitokset ja/tai varavesiyhteydet ovat joko jatkuvassa käytössä tai niiden toimintavalmius varmistetaan (esim. näytteenotoin ja koekäyttämällä) säännöllisesti vähintään vuosittain.</v>
      </c>
      <c r="H25" s="1" t="str">
        <f>KorjattavaaTaulukko[[#This Row],[Vastaus ]]</f>
        <v/>
      </c>
    </row>
    <row r="26" spans="1:8" x14ac:dyDescent="0.25">
      <c r="A26" s="1" t="str">
        <f>Turvallinen_ja_toimintavarma!I24</f>
        <v>Ei kuulu</v>
      </c>
      <c r="B26" s="1" t="str">
        <f>Turvallinen_ja_toimintavarma!P24</f>
        <v/>
      </c>
      <c r="C26" s="163" t="str">
        <f t="shared" si="0"/>
        <v>Ei</v>
      </c>
      <c r="D26" s="1" t="str">
        <f>KorjattavaaTaulukko[[#This Row],[Huoltovarmuuskriteeri]]</f>
        <v>Kyllä</v>
      </c>
      <c r="E26" s="1" t="str">
        <f>KorjattavaaTaulukko[[#This Row],[Pääkategoria]]</f>
        <v>Turvallinen ja toimintavarma</v>
      </c>
      <c r="F26" s="1" t="str">
        <f>KorjattavaaTaulukko[[#This Row],[Alakategoria]]</f>
        <v>2. Ajantasainen varautumis- ja valmiussuunnittelu ja yhteistyö muiden toimijoiden kanssa</v>
      </c>
      <c r="G26" s="1" t="str">
        <f>KorjattavaaTaulukko[[#This Row],[Arviointikriteeri]]</f>
        <v>2.7 Vesihuoltolaitos hallitsee riskiperusteisesti ja oikeasuhtaisesti ilmastonmuutoksen toiminnalleen aiheuttamia riskejä.</v>
      </c>
      <c r="H26" s="1" t="str">
        <f>KorjattavaaTaulukko[[#This Row],[Vastaus ]]</f>
        <v/>
      </c>
    </row>
    <row r="27" spans="1:8" x14ac:dyDescent="0.25">
      <c r="A27" s="1" t="str">
        <f>Turvallinen_ja_toimintavarma!I25</f>
        <v>Ei kuulu</v>
      </c>
      <c r="B27" s="1" t="str">
        <f>Turvallinen_ja_toimintavarma!P25</f>
        <v/>
      </c>
      <c r="C27" s="163" t="str">
        <f t="shared" si="0"/>
        <v>Ei</v>
      </c>
      <c r="D27" s="1" t="str">
        <f>KorjattavaaTaulukko[[#This Row],[Huoltovarmuuskriteeri]]</f>
        <v>Kyllä</v>
      </c>
      <c r="E27" s="1" t="str">
        <f>KorjattavaaTaulukko[[#This Row],[Pääkategoria]]</f>
        <v>Turvallinen ja toimintavarma</v>
      </c>
      <c r="F27" s="1" t="str">
        <f>KorjattavaaTaulukko[[#This Row],[Alakategoria]]</f>
        <v>2. Ajantasainen varautumis- ja valmiussuunnittelu ja yhteistyö muiden toimijoiden kanssa</v>
      </c>
      <c r="G27" s="1" t="str">
        <f>KorjattavaaTaulukko[[#This Row],[Arviointikriteeri]]</f>
        <v xml:space="preserve">2.8 Toiminnan kannalta kriittisimmät automaatio- ja ICT-järjestelmät on tunnistettu ja niiden tietoturvaa hallitaan riskiperusteisesti. </v>
      </c>
      <c r="H27" s="1" t="str">
        <f>KorjattavaaTaulukko[[#This Row],[Vastaus ]]</f>
        <v/>
      </c>
    </row>
    <row r="28" spans="1:8" x14ac:dyDescent="0.25">
      <c r="A28" s="1" t="str">
        <f>Turvallinen_ja_toimintavarma!I26</f>
        <v>Ei kuulu</v>
      </c>
      <c r="B28" s="1" t="str">
        <f>Turvallinen_ja_toimintavarma!P26</f>
        <v/>
      </c>
      <c r="C28" s="163" t="str">
        <f t="shared" si="0"/>
        <v>Ei</v>
      </c>
      <c r="D28" s="1" t="str">
        <f>KorjattavaaTaulukko[[#This Row],[Huoltovarmuuskriteeri]]</f>
        <v>Kyllä</v>
      </c>
      <c r="E28" s="1" t="str">
        <f>KorjattavaaTaulukko[[#This Row],[Pääkategoria]]</f>
        <v>Turvallinen ja toimintavarma</v>
      </c>
      <c r="F28" s="1" t="str">
        <f>KorjattavaaTaulukko[[#This Row],[Alakategoria]]</f>
        <v>2. Ajantasainen varautumis- ja valmiussuunnittelu ja yhteistyö muiden toimijoiden kanssa</v>
      </c>
      <c r="G28" s="1" t="str">
        <f>KorjattavaaTaulukko[[#This Row],[Arviointikriteeri]]</f>
        <v>2.9 Vesihuoltolaitos pitää henkilöstön VAP-varaukset ajan tasalla.</v>
      </c>
      <c r="H28" s="1" t="str">
        <f>KorjattavaaTaulukko[[#This Row],[Vastaus ]]</f>
        <v/>
      </c>
    </row>
    <row r="29" spans="1:8" x14ac:dyDescent="0.25">
      <c r="A29" s="1" t="str">
        <f>Turvallinen_ja_toimintavarma!I27</f>
        <v>Ei kuulu</v>
      </c>
      <c r="B29" s="1" t="str">
        <f>Turvallinen_ja_toimintavarma!P27</f>
        <v/>
      </c>
      <c r="C29" s="163" t="str">
        <f t="shared" si="0"/>
        <v>Ei</v>
      </c>
      <c r="D29" s="1" t="str">
        <f>KorjattavaaTaulukko[[#This Row],[Huoltovarmuuskriteeri]]</f>
        <v>Kyllä</v>
      </c>
      <c r="E29" s="1" t="str">
        <f>KorjattavaaTaulukko[[#This Row],[Pääkategoria]]</f>
        <v>Turvallinen ja toimintavarma</v>
      </c>
      <c r="F29" s="1" t="str">
        <f>KorjattavaaTaulukko[[#This Row],[Alakategoria]]</f>
        <v>2. Ajantasainen varautumis- ja valmiussuunnittelu ja yhteistyö muiden toimijoiden kanssa</v>
      </c>
      <c r="G29" s="1" t="str">
        <f>KorjattavaaTaulukko[[#This Row],[Arviointikriteeri]]</f>
        <v>2.10 Häiriötilanteisiin varautumisessa tehdään yhteistyötä viranomaisten, kunnan, materiaalitoimittajien, palveluntarjoajien, asiakkaiden ja muiden sidosryhmien kanssa.</v>
      </c>
      <c r="H29" s="1" t="str">
        <f>KorjattavaaTaulukko[[#This Row],[Vastaus ]]</f>
        <v/>
      </c>
    </row>
    <row r="30" spans="1:8" x14ac:dyDescent="0.25">
      <c r="A30" s="1" t="str">
        <f>Turvallinen_ja_toimintavarma!I28</f>
        <v>Ei kuulu</v>
      </c>
      <c r="B30" s="1" t="str">
        <f>Turvallinen_ja_toimintavarma!P28</f>
        <v/>
      </c>
      <c r="C30" s="163" t="str">
        <f t="shared" si="0"/>
        <v>Ei</v>
      </c>
      <c r="D30" s="1" t="str">
        <f>KorjattavaaTaulukko[[#This Row],[Huoltovarmuuskriteeri]]</f>
        <v>Ei</v>
      </c>
      <c r="E30" s="1" t="str">
        <f>KorjattavaaTaulukko[[#This Row],[Pääkategoria]]</f>
        <v>Turvallinen ja toimintavarma</v>
      </c>
      <c r="F30" s="1" t="str">
        <f>KorjattavaaTaulukko[[#This Row],[Alakategoria]]</f>
        <v>2. Ajantasainen varautumis- ja valmiussuunnittelu ja yhteistyö muiden toimijoiden kanssa</v>
      </c>
      <c r="G30" s="1" t="str">
        <f>KorjattavaaTaulukko[[#This Row],[Arviointikriteeri]]</f>
        <v>2.11 Vesihuoltolaitoksen pääasiallinen varmuusluokka on B (Talousvettä käytettävissä ≥ 60 % normaalista kulutuksesta, mikäli vedenjakelualueen pääasiallista vesilähdettä ei voida käyttää).</v>
      </c>
      <c r="H30" s="1" t="str">
        <f>KorjattavaaTaulukko[[#This Row],[Vastaus ]]</f>
        <v/>
      </c>
    </row>
    <row r="31" spans="1:8" x14ac:dyDescent="0.25">
      <c r="A31" s="1" t="str">
        <f>Turvallinen_ja_toimintavarma!I29</f>
        <v>Ei kuulu</v>
      </c>
      <c r="B31" s="1" t="str">
        <f>Turvallinen_ja_toimintavarma!P29</f>
        <v/>
      </c>
      <c r="C31" s="163" t="str">
        <f t="shared" si="0"/>
        <v>Ei</v>
      </c>
      <c r="D31" s="1" t="str">
        <f>KorjattavaaTaulukko[[#This Row],[Huoltovarmuuskriteeri]]</f>
        <v>Kyllä</v>
      </c>
      <c r="E31" s="1" t="str">
        <f>KorjattavaaTaulukko[[#This Row],[Pääkategoria]]</f>
        <v>Turvallinen ja toimintavarma</v>
      </c>
      <c r="F31" s="1" t="str">
        <f>KorjattavaaTaulukko[[#This Row],[Alakategoria]]</f>
        <v>2. Ajantasainen varautumis- ja valmiussuunnittelu ja yhteistyö muiden toimijoiden kanssa</v>
      </c>
      <c r="G31" s="1" t="str">
        <f>KorjattavaaTaulukko[[#This Row],[Arviointikriteeri]]</f>
        <v>2.11 Vesihuoltolaitoksen pääasiallinen varmuusluokka on A (Talousvettä käytettävissä ≥ 90 % normaalista kulutuksesta, mikäli vedenjakelualueen pääasiallista vesilähdettä ei voida käyttää).</v>
      </c>
      <c r="H31" s="1" t="str">
        <f>KorjattavaaTaulukko[[#This Row],[Vastaus ]]</f>
        <v/>
      </c>
    </row>
    <row r="32" spans="1:8" x14ac:dyDescent="0.25">
      <c r="A32" s="1" t="str">
        <f>Turvallinen_ja_toimintavarma!I30</f>
        <v>Ei kuulu</v>
      </c>
      <c r="B32" s="1" t="str">
        <f>Turvallinen_ja_toimintavarma!P30</f>
        <v/>
      </c>
      <c r="C32" s="163" t="str">
        <f t="shared" si="0"/>
        <v>Ei</v>
      </c>
      <c r="D32" s="1" t="str">
        <f>KorjattavaaTaulukko[[#This Row],[Huoltovarmuuskriteeri]]</f>
        <v>Kyllä</v>
      </c>
      <c r="E32" s="1" t="str">
        <f>KorjattavaaTaulukko[[#This Row],[Pääkategoria]]</f>
        <v>Turvallinen ja toimintavarma</v>
      </c>
      <c r="F32" s="1" t="str">
        <f>KorjattavaaTaulukko[[#This Row],[Alakategoria]]</f>
        <v>2. Ajantasainen varautumis- ja valmiussuunnittelu ja yhteistyö muiden toimijoiden kanssa</v>
      </c>
      <c r="G32" s="1" t="str">
        <f>KorjattavaaTaulukko[[#This Row],[Arviointikriteeri]]</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32" s="1" t="str">
        <f>KorjattavaaTaulukko[[#This Row],[Vastaus ]]</f>
        <v/>
      </c>
    </row>
    <row r="33" spans="1:8" x14ac:dyDescent="0.25">
      <c r="A33" s="1" t="str">
        <f>Turvallinen_ja_toimintavarma!I31</f>
        <v>Ei kuulu</v>
      </c>
      <c r="B33" s="1" t="str">
        <f>Turvallinen_ja_toimintavarma!P31</f>
        <v/>
      </c>
      <c r="C33" s="163" t="str">
        <f t="shared" si="0"/>
        <v>Ei</v>
      </c>
      <c r="D33" s="1" t="str">
        <f>KorjattavaaTaulukko[[#This Row],[Huoltovarmuuskriteeri]]</f>
        <v>Kyllä</v>
      </c>
      <c r="E33" s="1" t="str">
        <f>KorjattavaaTaulukko[[#This Row],[Pääkategoria]]</f>
        <v>Turvallinen ja toimintavarma</v>
      </c>
      <c r="F33" s="1" t="str">
        <f>KorjattavaaTaulukko[[#This Row],[Alakategoria]]</f>
        <v>2. Ajantasainen varautumis- ja valmiussuunnittelu ja yhteistyö muiden toimijoiden kanssa</v>
      </c>
      <c r="G33" s="1" t="str">
        <f>KorjattavaaTaulukko[[#This Row],[Arviointikriteeri]]</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33" s="1" t="str">
        <f>KorjattavaaTaulukko[[#This Row],[Vastaus ]]</f>
        <v/>
      </c>
    </row>
    <row r="34" spans="1:8" x14ac:dyDescent="0.25">
      <c r="A34" s="1" t="str">
        <f>Turvallinen_ja_toimintavarma!I32</f>
        <v>Ei kuulu</v>
      </c>
      <c r="B34" s="1" t="str">
        <f>Turvallinen_ja_toimintavarma!P32</f>
        <v/>
      </c>
      <c r="C34" s="163" t="str">
        <f t="shared" si="0"/>
        <v>Ei</v>
      </c>
      <c r="D34" s="1" t="str">
        <f>KorjattavaaTaulukko[[#This Row],[Huoltovarmuuskriteeri]]</f>
        <v>Kyllä</v>
      </c>
      <c r="E34" s="1" t="str">
        <f>KorjattavaaTaulukko[[#This Row],[Pääkategoria]]</f>
        <v>Turvallinen ja toimintavarma</v>
      </c>
      <c r="F34" s="1" t="str">
        <f>KorjattavaaTaulukko[[#This Row],[Alakategoria]]</f>
        <v>2. Ajantasainen varautumis- ja valmiussuunnittelu ja yhteistyö muiden toimijoiden kanssa</v>
      </c>
      <c r="G34" s="1" t="str">
        <f>KorjattavaaTaulukko[[#This Row],[Arviointikriteeri]]</f>
        <v xml:space="preserve">2.14 Varavoimakoneiden käyttöönotto ja toimivuus testataan säännöllisesti. </v>
      </c>
      <c r="H34" s="1" t="str">
        <f>KorjattavaaTaulukko[[#This Row],[Vastaus ]]</f>
        <v/>
      </c>
    </row>
    <row r="35" spans="1:8" x14ac:dyDescent="0.25">
      <c r="A35" s="1" t="str">
        <f>Turvallinen_ja_toimintavarma!I33</f>
        <v>Ei kuulu</v>
      </c>
      <c r="B35" s="1" t="str">
        <f>Turvallinen_ja_toimintavarma!P33</f>
        <v/>
      </c>
      <c r="C35" s="163" t="str">
        <f t="shared" si="0"/>
        <v>Ei</v>
      </c>
      <c r="D35" s="1" t="str">
        <f>KorjattavaaTaulukko[[#This Row],[Huoltovarmuuskriteeri]]</f>
        <v>Kyllä</v>
      </c>
      <c r="E35" s="1" t="str">
        <f>KorjattavaaTaulukko[[#This Row],[Pääkategoria]]</f>
        <v>Turvallinen ja toimintavarma</v>
      </c>
      <c r="F35" s="1" t="str">
        <f>KorjattavaaTaulukko[[#This Row],[Alakategoria]]</f>
        <v>2. Ajantasainen varautumis- ja valmiussuunnittelu ja yhteistyö muiden toimijoiden kanssa</v>
      </c>
      <c r="G35" s="1" t="str">
        <f>KorjattavaaTaulukko[[#This Row],[Arviointikriteeri]]</f>
        <v>2.15 Vesihuoltolaitos on selvittänyt materiaalisia yhteistyötarpeita ja -mahdollisuuksia muiden vesihuoltolaitosten kanssa. Jos yhteisiä tarpeita ja mahdollisuuksia on havaittu, on tehty yhteistyösopimuksia (esim. varavoima, vedenjakelukalusto, kemikaalit, varaosat).</v>
      </c>
      <c r="H35" s="1" t="str">
        <f>KorjattavaaTaulukko[[#This Row],[Vastaus ]]</f>
        <v/>
      </c>
    </row>
    <row r="36" spans="1:8" x14ac:dyDescent="0.25">
      <c r="A36" s="1" t="str">
        <f>Turvallinen_ja_toimintavarma!I34</f>
        <v>Ei kuulu</v>
      </c>
      <c r="B36" s="1" t="str">
        <f>Turvallinen_ja_toimintavarma!P34</f>
        <v/>
      </c>
      <c r="C36" s="163" t="str">
        <f t="shared" si="0"/>
        <v>Ei</v>
      </c>
      <c r="D36" s="1" t="str">
        <f>KorjattavaaTaulukko[[#This Row],[Huoltovarmuuskriteeri]]</f>
        <v>Kyllä</v>
      </c>
      <c r="E36" s="1" t="str">
        <f>KorjattavaaTaulukko[[#This Row],[Pääkategoria]]</f>
        <v>Turvallinen ja toimintavarma</v>
      </c>
      <c r="F36" s="1" t="str">
        <f>KorjattavaaTaulukko[[#This Row],[Alakategoria]]</f>
        <v>2. Ajantasainen varautumis- ja valmiussuunnittelu ja yhteistyö muiden toimijoiden kanssa</v>
      </c>
      <c r="G36" s="1" t="str">
        <f>KorjattavaaTaulukko[[#This Row],[Arviointikriteeri]]</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6" s="1" t="str">
        <f>KorjattavaaTaulukko[[#This Row],[Vastaus ]]</f>
        <v/>
      </c>
    </row>
    <row r="37" spans="1:8" x14ac:dyDescent="0.25">
      <c r="A37" s="1" t="str">
        <f>Turvallinen_ja_toimintavarma!I35</f>
        <v>Ei kuulu</v>
      </c>
      <c r="B37" s="1" t="str">
        <f>Turvallinen_ja_toimintavarma!P35</f>
        <v/>
      </c>
      <c r="C37" s="163" t="str">
        <f t="shared" si="0"/>
        <v>Ei</v>
      </c>
      <c r="D37" s="1" t="str">
        <f>KorjattavaaTaulukko[[#This Row],[Huoltovarmuuskriteeri]]</f>
        <v>Kyllä</v>
      </c>
      <c r="E37" s="1" t="str">
        <f>KorjattavaaTaulukko[[#This Row],[Pääkategoria]]</f>
        <v>Turvallinen ja toimintavarma</v>
      </c>
      <c r="F37" s="1" t="str">
        <f>KorjattavaaTaulukko[[#This Row],[Alakategoria]]</f>
        <v>2. Ajantasainen varautumis- ja valmiussuunnittelu ja yhteistyö muiden toimijoiden kanssa</v>
      </c>
      <c r="G37" s="1" t="str">
        <f>KorjattavaaTaulukko[[#This Row],[Arviointikriteeri]]</f>
        <v>2.17 On selvitetty mahdollisuuksia ja tarvetta vesihuoltolaitosten välisiin olennaisiin normaali/poikkeustilanteen verkostoyhteyksiin ja jos tarve on tunnistettu, on tehty sopimukset, rakennettu yhteydet sekä sovittu käytännöistä.</v>
      </c>
      <c r="H37" s="1" t="str">
        <f>KorjattavaaTaulukko[[#This Row],[Vastaus ]]</f>
        <v/>
      </c>
    </row>
    <row r="38" spans="1:8" x14ac:dyDescent="0.25">
      <c r="A38" s="1" t="str">
        <f>Turvallinen_ja_toimintavarma!I36</f>
        <v>Ei kuulu</v>
      </c>
      <c r="B38" s="1" t="str">
        <f>Turvallinen_ja_toimintavarma!P36</f>
        <v/>
      </c>
      <c r="C38" s="163" t="str">
        <f t="shared" si="0"/>
        <v>Ei</v>
      </c>
      <c r="D38" s="1" t="str">
        <f>KorjattavaaTaulukko[[#This Row],[Huoltovarmuuskriteeri]]</f>
        <v>Kyllä</v>
      </c>
      <c r="E38" s="1" t="str">
        <f>KorjattavaaTaulukko[[#This Row],[Pääkategoria]]</f>
        <v>Turvallinen ja toimintavarma</v>
      </c>
      <c r="F38" s="1" t="str">
        <f>KorjattavaaTaulukko[[#This Row],[Alakategoria]]</f>
        <v>2. Ajantasainen varautumis- ja valmiussuunnittelu ja yhteistyö muiden toimijoiden kanssa</v>
      </c>
      <c r="G38" s="1" t="str">
        <f>KorjattavaaTaulukko[[#This Row],[Arviointikriteeri]]</f>
        <v>2.18 Vesihuoltolaitoksen kohteiden (esim. kiinteistöjen, toimitilojen) riittävästä fyysisestä turvallisuudesta (lukitus, kulunseuranta, aitaus, valvontakamerat tms.)  on huolehdittu asianmukaisesti ottaen huomioon niiden kriittisyys.</v>
      </c>
      <c r="H38" s="1" t="str">
        <f>KorjattavaaTaulukko[[#This Row],[Vastaus ]]</f>
        <v/>
      </c>
    </row>
    <row r="39" spans="1:8" x14ac:dyDescent="0.25">
      <c r="A39" s="1" t="str">
        <f>Turvallinen_ja_toimintavarma!I37</f>
        <v>Ei kuulu</v>
      </c>
      <c r="B39" s="1" t="str">
        <f>Turvallinen_ja_toimintavarma!P37</f>
        <v/>
      </c>
      <c r="C39" s="163" t="str">
        <f t="shared" si="0"/>
        <v>Ei</v>
      </c>
      <c r="D39" s="1" t="str">
        <f>KorjattavaaTaulukko[[#This Row],[Huoltovarmuuskriteeri]]</f>
        <v>Kyllä</v>
      </c>
      <c r="E39" s="1" t="str">
        <f>KorjattavaaTaulukko[[#This Row],[Pääkategoria]]</f>
        <v>Turvallinen ja toimintavarma</v>
      </c>
      <c r="F39" s="1" t="str">
        <f>KorjattavaaTaulukko[[#This Row],[Alakategoria]]</f>
        <v>2. Ajantasainen varautumis- ja valmiussuunnittelu ja yhteistyö muiden toimijoiden kanssa</v>
      </c>
      <c r="G39" s="1" t="str">
        <f>KorjattavaaTaulukko[[#This Row],[Arviointikriteeri]]</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9" s="1" t="str">
        <f>KorjattavaaTaulukko[[#This Row],[Vastaus ]]</f>
        <v/>
      </c>
    </row>
    <row r="40" spans="1:8" x14ac:dyDescent="0.25">
      <c r="A40" s="1" t="str">
        <f>Turvallinen_ja_toimintavarma!I38</f>
        <v>Ei kuulu</v>
      </c>
      <c r="B40" s="1" t="str">
        <f>Turvallinen_ja_toimintavarma!P38</f>
        <v/>
      </c>
      <c r="C40" s="163" t="str">
        <f t="shared" si="0"/>
        <v>Ei</v>
      </c>
      <c r="D40" s="1" t="str">
        <f>KorjattavaaTaulukko[[#This Row],[Huoltovarmuuskriteeri]]</f>
        <v>Kyllä</v>
      </c>
      <c r="E40" s="1" t="str">
        <f>KorjattavaaTaulukko[[#This Row],[Pääkategoria]]</f>
        <v>Turvallinen ja toimintavarma</v>
      </c>
      <c r="F40" s="1" t="str">
        <f>KorjattavaaTaulukko[[#This Row],[Alakategoria]]</f>
        <v>2. Ajantasainen varautumis- ja valmiussuunnittelu ja yhteistyö muiden toimijoiden kanssa</v>
      </c>
      <c r="G40" s="1" t="str">
        <f>KorjattavaaTaulukko[[#This Row],[Arviointikriteeri]]</f>
        <v xml:space="preserve">2.20 Vesihuoltolaitoksella on häiriötilanteiden hoitoa varten etukäteen sovittu ja harjoiteltu toimintatapa tilannekuvan kokoamiseen ja ylläpitoon. </v>
      </c>
      <c r="H40" s="1" t="str">
        <f>KorjattavaaTaulukko[[#This Row],[Vastaus ]]</f>
        <v/>
      </c>
    </row>
    <row r="41" spans="1:8" x14ac:dyDescent="0.25">
      <c r="A41" s="1" t="str">
        <f>Turvallinen_ja_toimintavarma!I39</f>
        <v>Ei kuulu</v>
      </c>
      <c r="B41" s="1" t="str">
        <f>Turvallinen_ja_toimintavarma!P39</f>
        <v/>
      </c>
      <c r="C41" s="163" t="str">
        <f t="shared" si="0"/>
        <v>Ei</v>
      </c>
      <c r="D41" s="1" t="str">
        <f>KorjattavaaTaulukko[[#This Row],[Huoltovarmuuskriteeri]]</f>
        <v>Kyllä</v>
      </c>
      <c r="E41" s="1" t="str">
        <f>KorjattavaaTaulukko[[#This Row],[Pääkategoria]]</f>
        <v>Turvallinen ja toimintavarma</v>
      </c>
      <c r="F41" s="1" t="str">
        <f>KorjattavaaTaulukko[[#This Row],[Alakategoria]]</f>
        <v>2. Ajantasainen varautumis- ja valmiussuunnittelu ja yhteistyö muiden toimijoiden kanssa</v>
      </c>
      <c r="G41" s="1" t="str">
        <f>KorjattavaaTaulukko[[#This Row],[Arviointikriteeri]]</f>
        <v>2.21 Vesihuoltolaitoksella on laadittu toiminnan kannalta kriittisten automaatio- ja ICT-järjestelmien häiriötilanteiden varajärjestelyt ja häiriöistä toipuminen on suunniteltu. Tietoturvaa havainnoidaan.</v>
      </c>
      <c r="H41" s="1" t="str">
        <f>KorjattavaaTaulukko[[#This Row],[Vastaus ]]</f>
        <v/>
      </c>
    </row>
    <row r="42" spans="1:8" x14ac:dyDescent="0.25">
      <c r="A42" s="1" t="str">
        <f>Turvallinen_ja_toimintavarma!I40</f>
        <v>Ei kuulu</v>
      </c>
      <c r="B42" s="1" t="str">
        <f>Turvallinen_ja_toimintavarma!P40</f>
        <v/>
      </c>
      <c r="C42" s="163" t="str">
        <f t="shared" si="0"/>
        <v>Ei</v>
      </c>
      <c r="D42" s="1" t="str">
        <f>KorjattavaaTaulukko[[#This Row],[Huoltovarmuuskriteeri]]</f>
        <v>Kyllä</v>
      </c>
      <c r="E42" s="1" t="str">
        <f>KorjattavaaTaulukko[[#This Row],[Pääkategoria]]</f>
        <v>Turvallinen ja toimintavarma</v>
      </c>
      <c r="F42" s="1" t="str">
        <f>KorjattavaaTaulukko[[#This Row],[Alakategoria]]</f>
        <v>2. Ajantasainen varautumis- ja valmiussuunnittelu ja yhteistyö muiden toimijoiden kanssa</v>
      </c>
      <c r="G42" s="1" t="str">
        <f>KorjattavaaTaulukko[[#This Row],[Arviointikriteeri]]</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42" s="1" t="str">
        <f>KorjattavaaTaulukko[[#This Row],[Vastaus ]]</f>
        <v/>
      </c>
    </row>
    <row r="43" spans="1:8" x14ac:dyDescent="0.25">
      <c r="A43" s="1" t="str">
        <f>Turvallinen_ja_toimintavarma!I41</f>
        <v>Ei kuulu</v>
      </c>
      <c r="B43" s="1" t="str">
        <f>Turvallinen_ja_toimintavarma!P41</f>
        <v/>
      </c>
      <c r="C43" s="163" t="str">
        <f t="shared" si="0"/>
        <v>Ei</v>
      </c>
      <c r="D43" s="1" t="str">
        <f>KorjattavaaTaulukko[[#This Row],[Huoltovarmuuskriteeri]]</f>
        <v>Kyllä</v>
      </c>
      <c r="E43" s="1" t="str">
        <f>KorjattavaaTaulukko[[#This Row],[Pääkategoria]]</f>
        <v>Turvallinen ja toimintavarma</v>
      </c>
      <c r="F43" s="1" t="str">
        <f>KorjattavaaTaulukko[[#This Row],[Alakategoria]]</f>
        <v>2. Ajantasainen varautumis- ja valmiussuunnittelu ja yhteistyö muiden toimijoiden kanssa</v>
      </c>
      <c r="G43" s="1" t="str">
        <f>KorjattavaaTaulukko[[#This Row],[Arviointikriteeri]]</f>
        <v>2.23 Vesihuoltolaitos pitää tarvitsemiensa ajoneuvojen ja työkoneiden ATV-varaukset ajan tasalla. (Välttämättömien ajoneuvojen ja työkoneiden varaaminen poikkeusoloissa vesihuollon käyttöön)</v>
      </c>
      <c r="H43" s="1" t="str">
        <f>KorjattavaaTaulukko[[#This Row],[Vastaus ]]</f>
        <v/>
      </c>
    </row>
    <row r="44" spans="1:8" x14ac:dyDescent="0.25">
      <c r="A44" s="1" t="str">
        <f>Turvallinen_ja_toimintavarma!I42</f>
        <v>Ei kuulu</v>
      </c>
      <c r="B44" s="1" t="str">
        <f>Turvallinen_ja_toimintavarma!P42</f>
        <v/>
      </c>
      <c r="C44" s="163" t="str">
        <f t="shared" si="0"/>
        <v>Ei</v>
      </c>
      <c r="D44" s="1" t="str">
        <f>KorjattavaaTaulukko[[#This Row],[Huoltovarmuuskriteeri]]</f>
        <v>Kyllä</v>
      </c>
      <c r="E44" s="1" t="str">
        <f>KorjattavaaTaulukko[[#This Row],[Pääkategoria]]</f>
        <v>Turvallinen ja toimintavarma</v>
      </c>
      <c r="F44" s="1" t="str">
        <f>KorjattavaaTaulukko[[#This Row],[Alakategoria]]</f>
        <v>2. Ajantasainen varautumis- ja valmiussuunnittelu ja yhteistyö muiden toimijoiden kanssa</v>
      </c>
      <c r="G44" s="1" t="str">
        <f>KorjattavaaTaulukko[[#This Row],[Arviointikriteeri]]</f>
        <v>2.24 Automaatio- ja ICT-järjestelmien (OT- ja IT- järjestelmät) tietoturvaa on arvioitu hyödyntäen Kybermittaria tai Kyber-Vesi -hankkeen automaation vaatimuspatteristoa.</v>
      </c>
      <c r="H44" s="1" t="str">
        <f>KorjattavaaTaulukko[[#This Row],[Vastaus ]]</f>
        <v/>
      </c>
    </row>
    <row r="45" spans="1:8" x14ac:dyDescent="0.25">
      <c r="A45" s="1" t="str">
        <f>Turvallinen_ja_toimintavarma!I43</f>
        <v>Ei kuulu</v>
      </c>
      <c r="B45" s="1" t="str">
        <f>Turvallinen_ja_toimintavarma!P43</f>
        <v/>
      </c>
      <c r="C45" s="163" t="str">
        <f t="shared" si="0"/>
        <v>Ei</v>
      </c>
      <c r="D45" s="1" t="str">
        <f>KorjattavaaTaulukko[[#This Row],[Huoltovarmuuskriteeri]]</f>
        <v>Ei</v>
      </c>
      <c r="E45" s="1" t="str">
        <f>KorjattavaaTaulukko[[#This Row],[Pääkategoria]]</f>
        <v>Turvallinen ja toimintavarma</v>
      </c>
      <c r="F45" s="1" t="str">
        <f>KorjattavaaTaulukko[[#This Row],[Alakategoria]]</f>
        <v>_Otsikkorivi</v>
      </c>
      <c r="G45" s="1" t="str">
        <f>KorjattavaaTaulukko[[#This Row],[Arviointikriteeri]]</f>
        <v>3. Kriittiset asiakkaat, väliaikainen vedenjakelu ja poikkeustilanteiden viestintä</v>
      </c>
      <c r="H45" s="1" t="str">
        <f>KorjattavaaTaulukko[[#This Row],[Vastaus ]]</f>
        <v/>
      </c>
    </row>
    <row r="46" spans="1:8" x14ac:dyDescent="0.25">
      <c r="A46" s="1" t="str">
        <f>Turvallinen_ja_toimintavarma!I44</f>
        <v>Ei kuulu</v>
      </c>
      <c r="B46" s="1" t="str">
        <f>Turvallinen_ja_toimintavarma!P44</f>
        <v/>
      </c>
      <c r="C46" s="163" t="str">
        <f t="shared" si="0"/>
        <v>Ei</v>
      </c>
      <c r="D46" s="1" t="str">
        <f>KorjattavaaTaulukko[[#This Row],[Huoltovarmuuskriteeri]]</f>
        <v>Kyllä</v>
      </c>
      <c r="E46" s="1" t="str">
        <f>KorjattavaaTaulukko[[#This Row],[Pääkategoria]]</f>
        <v>Turvallinen ja toimintavarma</v>
      </c>
      <c r="F46" s="1" t="str">
        <f>KorjattavaaTaulukko[[#This Row],[Alakategoria]]</f>
        <v>3. Kriittiset asiakkaat, väliaikainen vedenjakelu ja poikkeustilanteiden viestintä</v>
      </c>
      <c r="G46" s="1" t="str">
        <f>KorjattavaaTaulukko[[#This Row],[Arviointikriteeri]]</f>
        <v xml:space="preserve">3.1 Vesihuoltolaitoksen kriittiset asiakkaat on tunnistettu (määritetty ja luokiteltu) ja dokumentoitu (esim. vesihuoltolaitoksen verkkotietojärjestelmään ja varautumisohjeisiin) </v>
      </c>
      <c r="H46" s="1" t="str">
        <f>KorjattavaaTaulukko[[#This Row],[Vastaus ]]</f>
        <v/>
      </c>
    </row>
    <row r="47" spans="1:8" x14ac:dyDescent="0.25">
      <c r="A47" s="1" t="str">
        <f>Turvallinen_ja_toimintavarma!I45</f>
        <v>Ei kuulu</v>
      </c>
      <c r="B47" s="1" t="str">
        <f>Turvallinen_ja_toimintavarma!P45</f>
        <v/>
      </c>
      <c r="C47" s="163" t="str">
        <f t="shared" si="0"/>
        <v>Ei</v>
      </c>
      <c r="D47" s="1" t="str">
        <f>KorjattavaaTaulukko[[#This Row],[Huoltovarmuuskriteeri]]</f>
        <v>Kyllä</v>
      </c>
      <c r="E47" s="1" t="str">
        <f>KorjattavaaTaulukko[[#This Row],[Pääkategoria]]</f>
        <v>Turvallinen ja toimintavarma</v>
      </c>
      <c r="F47" s="1" t="str">
        <f>KorjattavaaTaulukko[[#This Row],[Alakategoria]]</f>
        <v>3. Kriittiset asiakkaat, väliaikainen vedenjakelu ja poikkeustilanteiden viestintä</v>
      </c>
      <c r="G47" s="1" t="str">
        <f>KorjattavaaTaulukko[[#This Row],[Arviointikriteeri]]</f>
        <v>3.2 Varavedenjakelukaluston saatavuus ja riittävä kapasiteetti on varmistettu tavanomaisissa (pienivaikutteisissa) vedenjakelun häiriötilanteissa omalla kalustolla ja/tai muuten.</v>
      </c>
      <c r="H47" s="1" t="str">
        <f>KorjattavaaTaulukko[[#This Row],[Vastaus ]]</f>
        <v/>
      </c>
    </row>
    <row r="48" spans="1:8" x14ac:dyDescent="0.25">
      <c r="A48" s="1" t="str">
        <f>Turvallinen_ja_toimintavarma!I46</f>
        <v>Ei kuulu</v>
      </c>
      <c r="B48" s="1" t="str">
        <f>Turvallinen_ja_toimintavarma!P46</f>
        <v/>
      </c>
      <c r="C48" s="163" t="str">
        <f t="shared" si="0"/>
        <v>Ei</v>
      </c>
      <c r="D48" s="1" t="str">
        <f>KorjattavaaTaulukko[[#This Row],[Huoltovarmuuskriteeri]]</f>
        <v>Kyllä</v>
      </c>
      <c r="E48" s="1" t="str">
        <f>KorjattavaaTaulukko[[#This Row],[Pääkategoria]]</f>
        <v>Turvallinen ja toimintavarma</v>
      </c>
      <c r="F48" s="1" t="str">
        <f>KorjattavaaTaulukko[[#This Row],[Alakategoria]]</f>
        <v>3. Kriittiset asiakkaat, väliaikainen vedenjakelu ja poikkeustilanteiden viestintä</v>
      </c>
      <c r="G48" s="1" t="str">
        <f>KorjattavaaTaulukko[[#This Row],[Arviointikriteeri]]</f>
        <v xml:space="preserve">3.3 Vesihuoltolaitoksen varavedenjakelu (esim. jakelupisteet, kalusto, säiliöt, pullot yms.) on suunniteltu myös laajavaikutteisiin vedenjakelutarpeisiin. </v>
      </c>
      <c r="H48" s="1" t="str">
        <f>KorjattavaaTaulukko[[#This Row],[Vastaus ]]</f>
        <v/>
      </c>
    </row>
    <row r="49" spans="1:8" x14ac:dyDescent="0.25">
      <c r="A49" s="1" t="str">
        <f>Turvallinen_ja_toimintavarma!I47</f>
        <v>Ei kuulu</v>
      </c>
      <c r="B49" s="1" t="str">
        <f>Turvallinen_ja_toimintavarma!P47</f>
        <v/>
      </c>
      <c r="C49" s="163" t="str">
        <f t="shared" si="0"/>
        <v>Ei</v>
      </c>
      <c r="D49" s="1" t="str">
        <f>KorjattavaaTaulukko[[#This Row],[Huoltovarmuuskriteeri]]</f>
        <v>Kyllä</v>
      </c>
      <c r="E49" s="1" t="str">
        <f>KorjattavaaTaulukko[[#This Row],[Pääkategoria]]</f>
        <v>Turvallinen ja toimintavarma</v>
      </c>
      <c r="F49" s="1" t="str">
        <f>KorjattavaaTaulukko[[#This Row],[Alakategoria]]</f>
        <v>3. Kriittiset asiakkaat, väliaikainen vedenjakelu ja poikkeustilanteiden viestintä</v>
      </c>
      <c r="G49" s="1" t="str">
        <f>KorjattavaaTaulukko[[#This Row],[Arviointikriteeri]]</f>
        <v xml:space="preserve">3.4 Varavedenjakelua on harjoiteltu.  (esim. todellisten tilanteiden myötä) </v>
      </c>
      <c r="H49" s="1" t="str">
        <f>KorjattavaaTaulukko[[#This Row],[Vastaus ]]</f>
        <v/>
      </c>
    </row>
    <row r="50" spans="1:8" x14ac:dyDescent="0.25">
      <c r="A50" s="1" t="str">
        <f>Turvallinen_ja_toimintavarma!I48</f>
        <v>Ei kuulu</v>
      </c>
      <c r="B50" s="1" t="str">
        <f>Turvallinen_ja_toimintavarma!P48</f>
        <v/>
      </c>
      <c r="C50" s="163" t="str">
        <f t="shared" si="0"/>
        <v>Ei</v>
      </c>
      <c r="D50" s="1" t="str">
        <f>KorjattavaaTaulukko[[#This Row],[Huoltovarmuuskriteeri]]</f>
        <v>Kyllä</v>
      </c>
      <c r="E50" s="1" t="str">
        <f>KorjattavaaTaulukko[[#This Row],[Pääkategoria]]</f>
        <v>Turvallinen ja toimintavarma</v>
      </c>
      <c r="F50" s="1" t="str">
        <f>KorjattavaaTaulukko[[#This Row],[Alakategoria]]</f>
        <v>3. Kriittiset asiakkaat, väliaikainen vedenjakelu ja poikkeustilanteiden viestintä</v>
      </c>
      <c r="G50" s="1" t="str">
        <f>KorjattavaaTaulukko[[#This Row],[Arviointikriteeri]]</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50" s="1" t="str">
        <f>KorjattavaaTaulukko[[#This Row],[Vastaus ]]</f>
        <v/>
      </c>
    </row>
    <row r="51" spans="1:8" x14ac:dyDescent="0.25">
      <c r="A51" s="1" t="str">
        <f>Turvallinen_ja_toimintavarma!I49</f>
        <v>Ei kuulu</v>
      </c>
      <c r="B51" s="1" t="str">
        <f>Turvallinen_ja_toimintavarma!P49</f>
        <v/>
      </c>
      <c r="C51" s="163" t="str">
        <f t="shared" si="0"/>
        <v>Ei</v>
      </c>
      <c r="D51" s="1" t="str">
        <f>KorjattavaaTaulukko[[#This Row],[Huoltovarmuuskriteeri]]</f>
        <v>Kyllä</v>
      </c>
      <c r="E51" s="1" t="str">
        <f>KorjattavaaTaulukko[[#This Row],[Pääkategoria]]</f>
        <v>Turvallinen ja toimintavarma</v>
      </c>
      <c r="F51" s="1" t="str">
        <f>KorjattavaaTaulukko[[#This Row],[Alakategoria]]</f>
        <v>3. Kriittiset asiakkaat, väliaikainen vedenjakelu ja poikkeustilanteiden viestintä</v>
      </c>
      <c r="G51" s="1" t="str">
        <f>KorjattavaaTaulukko[[#This Row],[Arviointikriteeri]]</f>
        <v>3.6 Vesihuoltolaitos seuraa parametria yli 12 h vedentoimituskatkokset (kpl/v, liittyjät/vuosi)</v>
      </c>
      <c r="H51" s="1" t="str">
        <f>KorjattavaaTaulukko[[#This Row],[Vastaus ]]</f>
        <v/>
      </c>
    </row>
    <row r="52" spans="1:8" x14ac:dyDescent="0.25">
      <c r="A52" s="1" t="str">
        <f>Turvallinen_ja_toimintavarma!I50</f>
        <v>Ei kuulu</v>
      </c>
      <c r="B52" s="1" t="str">
        <f>Turvallinen_ja_toimintavarma!P50</f>
        <v/>
      </c>
      <c r="C52" s="163" t="str">
        <f t="shared" si="0"/>
        <v>Ei</v>
      </c>
      <c r="D52" s="1" t="str">
        <f>KorjattavaaTaulukko[[#This Row],[Huoltovarmuuskriteeri]]</f>
        <v>Kyllä</v>
      </c>
      <c r="E52" s="1" t="str">
        <f>KorjattavaaTaulukko[[#This Row],[Pääkategoria]]</f>
        <v>Turvallinen ja toimintavarma</v>
      </c>
      <c r="F52" s="1" t="str">
        <f>KorjattavaaTaulukko[[#This Row],[Alakategoria]]</f>
        <v>3. Kriittiset asiakkaat, väliaikainen vedenjakelu ja poikkeustilanteiden viestintä</v>
      </c>
      <c r="G52" s="1" t="str">
        <f>KorjattavaaTaulukko[[#This Row],[Arviointikriteeri]]</f>
        <v>3.7 Vesihuoltolaitoksella on valmius ilmoittaa keittokehotuksesta tai muista vedenkäyttöön liittyvistä häiriöistä vedenkäyttäjille tar-koituksenmukaisia viestintäkanavia käyttäen tarvittaessa myös kohdennetusti (esim. laputtamalla, tekstiviestillä).</v>
      </c>
      <c r="H52" s="1" t="str">
        <f>KorjattavaaTaulukko[[#This Row],[Vastaus ]]</f>
        <v/>
      </c>
    </row>
    <row r="53" spans="1:8" x14ac:dyDescent="0.25">
      <c r="A53" s="1" t="str">
        <f>Turvallinen_ja_toimintavarma!I51</f>
        <v>Ei kuulu</v>
      </c>
      <c r="B53" s="1" t="str">
        <f>Turvallinen_ja_toimintavarma!P51</f>
        <v/>
      </c>
      <c r="C53" s="163" t="str">
        <f t="shared" si="0"/>
        <v>Ei</v>
      </c>
      <c r="D53" s="1" t="str">
        <f>KorjattavaaTaulukko[[#This Row],[Huoltovarmuuskriteeri]]</f>
        <v>Kyllä</v>
      </c>
      <c r="E53" s="1" t="str">
        <f>KorjattavaaTaulukko[[#This Row],[Pääkategoria]]</f>
        <v>Turvallinen ja toimintavarma</v>
      </c>
      <c r="F53" s="1" t="str">
        <f>KorjattavaaTaulukko[[#This Row],[Alakategoria]]</f>
        <v>3. Kriittiset asiakkaat, väliaikainen vedenjakelu ja poikkeustilanteiden viestintä</v>
      </c>
      <c r="G53" s="1" t="str">
        <f>KorjattavaaTaulukko[[#This Row],[Arviointikriteeri]]</f>
        <v>3.8 On suunniteltu ja käyttöönotettavissa vaihtoehtoiset tiedon- ja toiminnanhallinnan sekä sisäisen viestinnän menetelmät, mikäli internet ja/tai normaalit tietoliikenneyhteydet eivät toimi.</v>
      </c>
      <c r="H53" s="1" t="str">
        <f>KorjattavaaTaulukko[[#This Row],[Vastaus ]]</f>
        <v/>
      </c>
    </row>
    <row r="54" spans="1:8" x14ac:dyDescent="0.25">
      <c r="A54" s="1" t="str">
        <f>Turvallinen_ja_toimintavarma!I52</f>
        <v>Ei kuulu</v>
      </c>
      <c r="B54" s="1" t="str">
        <f>Turvallinen_ja_toimintavarma!P52</f>
        <v/>
      </c>
      <c r="C54" s="163" t="str">
        <f t="shared" si="0"/>
        <v>Ei</v>
      </c>
      <c r="D54" s="1" t="str">
        <f>KorjattavaaTaulukko[[#This Row],[Huoltovarmuuskriteeri]]</f>
        <v>Kyllä</v>
      </c>
      <c r="E54" s="1" t="str">
        <f>KorjattavaaTaulukko[[#This Row],[Pääkategoria]]</f>
        <v>Turvallinen ja toimintavarma</v>
      </c>
      <c r="F54" s="1" t="str">
        <f>KorjattavaaTaulukko[[#This Row],[Alakategoria]]</f>
        <v>3. Kriittiset asiakkaat, väliaikainen vedenjakelu ja poikkeustilanteiden viestintä</v>
      </c>
      <c r="G54" s="1" t="str">
        <f>KorjattavaaTaulukko[[#This Row],[Arviointikriteeri]]</f>
        <v>3.9 Putkirikkojen määrä &lt; 4 kpl/100 km/vuosi</v>
      </c>
      <c r="H54" s="1" t="str">
        <f>KorjattavaaTaulukko[[#This Row],[Vastaus ]]</f>
        <v/>
      </c>
    </row>
    <row r="55" spans="1:8" x14ac:dyDescent="0.25">
      <c r="A55" s="1" t="str">
        <f>Turvallinen_ja_toimintavarma!I53</f>
        <v>Ei kuulu</v>
      </c>
      <c r="B55" s="1" t="str">
        <f>Turvallinen_ja_toimintavarma!P53</f>
        <v/>
      </c>
      <c r="C55" s="163" t="str">
        <f t="shared" ref="C55" si="1">IF(AND(A55="Kuuluu",H55="Ei",B55&lt;&gt;"Extra"),"Kyllä","Ei")</f>
        <v>Ei</v>
      </c>
      <c r="D55" s="1" t="str">
        <f>KorjattavaaTaulukko[[#This Row],[Huoltovarmuuskriteeri]]</f>
        <v>Kyllä</v>
      </c>
      <c r="E55" s="1" t="str">
        <f>KorjattavaaTaulukko[[#This Row],[Pääkategoria]]</f>
        <v>Turvallinen ja toimintavarma</v>
      </c>
      <c r="F55" s="1" t="str">
        <f>KorjattavaaTaulukko[[#This Row],[Alakategoria]]</f>
        <v>3. Kriittiset asiakkaat, väliaikainen vedenjakelu ja poikkeustilanteiden viestintä</v>
      </c>
      <c r="G55" s="1" t="str">
        <f>KorjattavaaTaulukko[[#This Row],[Arviointikriteeri]]</f>
        <v>3.10 Laskuttamattoman talousveden osuus &lt; 15 % (1-4)</v>
      </c>
      <c r="H55" s="1" t="str">
        <f>KorjattavaaTaulukko[[#This Row],[Vastaus ]]</f>
        <v/>
      </c>
    </row>
    <row r="56" spans="1:8" x14ac:dyDescent="0.25">
      <c r="A56" s="1" t="str">
        <f>Turvallinen_ja_toimintavarma!I53</f>
        <v>Ei kuulu</v>
      </c>
      <c r="B56" s="1" t="str">
        <f>Turvallinen_ja_toimintavarma!P53</f>
        <v/>
      </c>
      <c r="C56" s="163" t="str">
        <f t="shared" si="0"/>
        <v>Ei</v>
      </c>
      <c r="D56" s="1" t="str">
        <f>KorjattavaaTaulukko[[#This Row],[Huoltovarmuuskriteeri]]</f>
        <v>Kyllä</v>
      </c>
      <c r="E56" s="1" t="str">
        <f>KorjattavaaTaulukko[[#This Row],[Pääkategoria]]</f>
        <v>Turvallinen ja toimintavarma</v>
      </c>
      <c r="F56" s="1" t="str">
        <f>KorjattavaaTaulukko[[#This Row],[Alakategoria]]</f>
        <v>3. Kriittiset asiakkaat, väliaikainen vedenjakelu ja poikkeustilanteiden viestintä</v>
      </c>
      <c r="G56" s="1" t="str">
        <f>KorjattavaaTaulukko[[#This Row],[Arviointikriteeri]]</f>
        <v>3.11 Erilaisten häiriötilanteiden viestintä on suunniteltu, ohjeistettu ja sitä harjoitellaan. Yhteystiedot pidetään ajan tasalla.</v>
      </c>
      <c r="H56" s="1" t="str">
        <f>KorjattavaaTaulukko[[#This Row],[Vastaus ]]</f>
        <v/>
      </c>
    </row>
    <row r="57" spans="1:8" x14ac:dyDescent="0.25">
      <c r="A57" s="1" t="str">
        <f>Turvallinen_ja_toimintavarma!I54</f>
        <v>Ei kuulu</v>
      </c>
      <c r="B57" s="1" t="str">
        <f>Turvallinen_ja_toimintavarma!P54</f>
        <v/>
      </c>
      <c r="C57" s="163" t="str">
        <f t="shared" si="0"/>
        <v>Ei</v>
      </c>
      <c r="D57" s="1" t="str">
        <f>KorjattavaaTaulukko[[#This Row],[Huoltovarmuuskriteeri]]</f>
        <v>Kyllä</v>
      </c>
      <c r="E57" s="1" t="str">
        <f>KorjattavaaTaulukko[[#This Row],[Pääkategoria]]</f>
        <v>Turvallinen ja toimintavarma</v>
      </c>
      <c r="F57" s="1" t="str">
        <f>KorjattavaaTaulukko[[#This Row],[Alakategoria]]</f>
        <v>3. Kriittiset asiakkaat, väliaikainen vedenjakelu ja poikkeustilanteiden viestintä</v>
      </c>
      <c r="G57" s="1" t="str">
        <f>KorjattavaaTaulukko[[#This Row],[Arviointikriteeri]]</f>
        <v>3.12 Kriittisten asiakkaiden kanssa on käyty neuvottelu vedensaannin turvaamisesta ja tarpeellisten toimenpiteiden määrittely on tehty esim. erillisellä sopimuksella tai kriittisiä asiakkaita ei ole.</v>
      </c>
      <c r="H57" s="1" t="str">
        <f>KorjattavaaTaulukko[[#This Row],[Vastaus ]]</f>
        <v/>
      </c>
    </row>
    <row r="58" spans="1:8" x14ac:dyDescent="0.25">
      <c r="A58" s="1" t="str">
        <f>Turvallinen_ja_toimintavarma!I55</f>
        <v>Ei kuulu</v>
      </c>
      <c r="B58" s="1" t="str">
        <f>Turvallinen_ja_toimintavarma!P55</f>
        <v/>
      </c>
      <c r="C58" s="163" t="str">
        <f t="shared" si="0"/>
        <v>Ei</v>
      </c>
      <c r="D58" s="1" t="str">
        <f>KorjattavaaTaulukko[[#This Row],[Huoltovarmuuskriteeri]]</f>
        <v>Ei</v>
      </c>
      <c r="E58" s="1" t="str">
        <f>KorjattavaaTaulukko[[#This Row],[Pääkategoria]]</f>
        <v>Turvallinen ja toimintavarma</v>
      </c>
      <c r="F58" s="1" t="str">
        <f>KorjattavaaTaulukko[[#This Row],[Alakategoria]]</f>
        <v>_Otsikkorivi</v>
      </c>
      <c r="G58" s="1" t="str">
        <f>KorjattavaaTaulukko[[#This Row],[Arviointikriteeri]]</f>
        <v>4. Kemikaalit, varaosat ja kriittiset palvelut</v>
      </c>
      <c r="H58" s="1" t="str">
        <f>KorjattavaaTaulukko[[#This Row],[Vastaus ]]</f>
        <v/>
      </c>
    </row>
    <row r="59" spans="1:8" x14ac:dyDescent="0.25">
      <c r="A59" s="1" t="str">
        <f>Turvallinen_ja_toimintavarma!I56</f>
        <v>Ei kuulu</v>
      </c>
      <c r="B59" s="1" t="str">
        <f>Turvallinen_ja_toimintavarma!P56</f>
        <v/>
      </c>
      <c r="C59" s="163" t="str">
        <f t="shared" si="0"/>
        <v>Ei</v>
      </c>
      <c r="D59" s="1" t="str">
        <f>KorjattavaaTaulukko[[#This Row],[Huoltovarmuuskriteeri]]</f>
        <v>Kyllä</v>
      </c>
      <c r="E59" s="1" t="str">
        <f>KorjattavaaTaulukko[[#This Row],[Pääkategoria]]</f>
        <v>Turvallinen ja toimintavarma</v>
      </c>
      <c r="F59" s="1" t="str">
        <f>KorjattavaaTaulukko[[#This Row],[Alakategoria]]</f>
        <v>4. Kemikaalit, varaosat ja kriittiset palvelut</v>
      </c>
      <c r="G59" s="1" t="str">
        <f>KorjattavaaTaulukko[[#This Row],[Arviointikriteeri]]</f>
        <v xml:space="preserve">4.1 Vesihuoltolaitoksen kriittiset materiaalit (kemikaalit, varaosat, yms) on tunnistettu. </v>
      </c>
      <c r="H59" s="1" t="str">
        <f>KorjattavaaTaulukko[[#This Row],[Vastaus ]]</f>
        <v/>
      </c>
    </row>
    <row r="60" spans="1:8" x14ac:dyDescent="0.25">
      <c r="A60" s="1" t="str">
        <f>Turvallinen_ja_toimintavarma!I57</f>
        <v>Ei kuulu</v>
      </c>
      <c r="B60" s="1" t="str">
        <f>Turvallinen_ja_toimintavarma!P57</f>
        <v/>
      </c>
      <c r="C60" s="163" t="str">
        <f t="shared" si="0"/>
        <v>Ei</v>
      </c>
      <c r="D60" s="1" t="str">
        <f>KorjattavaaTaulukko[[#This Row],[Huoltovarmuuskriteeri]]</f>
        <v>Kyllä</v>
      </c>
      <c r="E60" s="1" t="str">
        <f>KorjattavaaTaulukko[[#This Row],[Pääkategoria]]</f>
        <v>Turvallinen ja toimintavarma</v>
      </c>
      <c r="F60" s="1" t="str">
        <f>KorjattavaaTaulukko[[#This Row],[Alakategoria]]</f>
        <v>4. Kemikaalit, varaosat ja kriittiset palvelut</v>
      </c>
      <c r="G60" s="1" t="str">
        <f>KorjattavaaTaulukko[[#This Row],[Arviointikriteeri]]</f>
        <v>4.2 Kriittisten materiaalien riittävä varastokapasiteetti ja saatavuus on määritetty ja järjestetty.</v>
      </c>
      <c r="H60" s="1" t="str">
        <f>KorjattavaaTaulukko[[#This Row],[Vastaus ]]</f>
        <v/>
      </c>
    </row>
    <row r="61" spans="1:8" x14ac:dyDescent="0.25">
      <c r="A61" s="1" t="str">
        <f>Turvallinen_ja_toimintavarma!I58</f>
        <v>Ei kuulu</v>
      </c>
      <c r="B61" s="1" t="str">
        <f>Turvallinen_ja_toimintavarma!P58</f>
        <v/>
      </c>
      <c r="C61" s="163" t="str">
        <f t="shared" si="0"/>
        <v>Ei</v>
      </c>
      <c r="D61" s="1" t="str">
        <f>KorjattavaaTaulukko[[#This Row],[Huoltovarmuuskriteeri]]</f>
        <v>Kyllä</v>
      </c>
      <c r="E61" s="1" t="str">
        <f>KorjattavaaTaulukko[[#This Row],[Pääkategoria]]</f>
        <v>Turvallinen ja toimintavarma</v>
      </c>
      <c r="F61" s="1" t="str">
        <f>KorjattavaaTaulukko[[#This Row],[Alakategoria]]</f>
        <v>4. Kemikaalit, varaosat ja kriittiset palvelut</v>
      </c>
      <c r="G61" s="1" t="str">
        <f>KorjattavaaTaulukko[[#This Row],[Arviointikriteeri]]</f>
        <v xml:space="preserve">4.3 Toimittajien kanssa on neuvoteltu jatkuvuudenhallinnasta. </v>
      </c>
      <c r="H61" s="1" t="str">
        <f>KorjattavaaTaulukko[[#This Row],[Vastaus ]]</f>
        <v/>
      </c>
    </row>
    <row r="62" spans="1:8" x14ac:dyDescent="0.25">
      <c r="A62" s="1" t="str">
        <f>Turvallinen_ja_toimintavarma!I59</f>
        <v>Ei kuulu</v>
      </c>
      <c r="B62" s="1" t="str">
        <f>Turvallinen_ja_toimintavarma!P59</f>
        <v/>
      </c>
      <c r="C62" s="163" t="str">
        <f t="shared" si="0"/>
        <v>Ei</v>
      </c>
      <c r="D62" s="1" t="str">
        <f>KorjattavaaTaulukko[[#This Row],[Huoltovarmuuskriteeri]]</f>
        <v>Kyllä</v>
      </c>
      <c r="E62" s="1" t="str">
        <f>KorjattavaaTaulukko[[#This Row],[Pääkategoria]]</f>
        <v>Turvallinen ja toimintavarma</v>
      </c>
      <c r="F62" s="1" t="str">
        <f>KorjattavaaTaulukko[[#This Row],[Alakategoria]]</f>
        <v>4. Kemikaalit, varaosat ja kriittiset palvelut</v>
      </c>
      <c r="G62" s="1" t="str">
        <f>KorjattavaaTaulukko[[#This Row],[Arviointikriteeri]]</f>
        <v xml:space="preserve">4.4 Kriittisten materiaalien saanti on otettu huomioon sopimuksissa (esim. SOPIVA-sopimuslausekkeet). </v>
      </c>
      <c r="H62" s="1" t="str">
        <f>KorjattavaaTaulukko[[#This Row],[Vastaus ]]</f>
        <v/>
      </c>
    </row>
    <row r="63" spans="1:8" x14ac:dyDescent="0.25">
      <c r="A63" s="1" t="str">
        <f>Turvallinen_ja_toimintavarma!I60</f>
        <v>Ei kuulu</v>
      </c>
      <c r="B63" s="1" t="str">
        <f>Turvallinen_ja_toimintavarma!P60</f>
        <v/>
      </c>
      <c r="C63" s="163" t="str">
        <f t="shared" si="0"/>
        <v>Ei</v>
      </c>
      <c r="D63" s="1" t="str">
        <f>KorjattavaaTaulukko[[#This Row],[Huoltovarmuuskriteeri]]</f>
        <v>Kyllä</v>
      </c>
      <c r="E63" s="1" t="str">
        <f>KorjattavaaTaulukko[[#This Row],[Pääkategoria]]</f>
        <v>Turvallinen ja toimintavarma</v>
      </c>
      <c r="F63" s="1" t="str">
        <f>KorjattavaaTaulukko[[#This Row],[Alakategoria]]</f>
        <v>4. Kemikaalit, varaosat ja kriittiset palvelut</v>
      </c>
      <c r="G63" s="1" t="str">
        <f>KorjattavaaTaulukko[[#This Row],[Arviointikriteeri]]</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63" s="1" t="str">
        <f>KorjattavaaTaulukko[[#This Row],[Vastaus ]]</f>
        <v/>
      </c>
    </row>
    <row r="64" spans="1:8" x14ac:dyDescent="0.25">
      <c r="A64" s="1" t="str">
        <f>Turvallinen_ja_toimintavarma!I61</f>
        <v>Ei kuulu</v>
      </c>
      <c r="B64" s="1" t="str">
        <f>Turvallinen_ja_toimintavarma!P61</f>
        <v/>
      </c>
      <c r="C64" s="163" t="str">
        <f t="shared" si="0"/>
        <v>Ei</v>
      </c>
      <c r="D64" s="1" t="str">
        <f>KorjattavaaTaulukko[[#This Row],[Huoltovarmuuskriteeri]]</f>
        <v>Kyllä</v>
      </c>
      <c r="E64" s="1" t="str">
        <f>KorjattavaaTaulukko[[#This Row],[Pääkategoria]]</f>
        <v>Turvallinen ja toimintavarma</v>
      </c>
      <c r="F64" s="1" t="str">
        <f>KorjattavaaTaulukko[[#This Row],[Alakategoria]]</f>
        <v>4. Kemikaalit, varaosat ja kriittiset palvelut</v>
      </c>
      <c r="G64" s="1" t="str">
        <f>KorjattavaaTaulukko[[#This Row],[Arviointikriteeri]]</f>
        <v>4.6 Vesihuoltolaitoksen kriittiset palvelut (perustoiminnan ylläpitämisen edellyttämät jatkuvat palvelut, esim. logistiikka) on tunnistettu.</v>
      </c>
      <c r="H64" s="1" t="str">
        <f>KorjattavaaTaulukko[[#This Row],[Vastaus ]]</f>
        <v/>
      </c>
    </row>
    <row r="65" spans="1:8" x14ac:dyDescent="0.25">
      <c r="A65" s="1" t="str">
        <f>Turvallinen_ja_toimintavarma!I62</f>
        <v>Ei kuulu</v>
      </c>
      <c r="B65" s="1" t="str">
        <f>Turvallinen_ja_toimintavarma!P62</f>
        <v/>
      </c>
      <c r="C65" s="163" t="str">
        <f t="shared" si="0"/>
        <v>Ei</v>
      </c>
      <c r="D65" s="1" t="str">
        <f>KorjattavaaTaulukko[[#This Row],[Huoltovarmuuskriteeri]]</f>
        <v>Kyllä</v>
      </c>
      <c r="E65" s="1" t="str">
        <f>KorjattavaaTaulukko[[#This Row],[Pääkategoria]]</f>
        <v>Turvallinen ja toimintavarma</v>
      </c>
      <c r="F65" s="1" t="str">
        <f>KorjattavaaTaulukko[[#This Row],[Alakategoria]]</f>
        <v>4. Kemikaalit, varaosat ja kriittiset palvelut</v>
      </c>
      <c r="G65" s="1" t="str">
        <f>KorjattavaaTaulukko[[#This Row],[Arviointikriteeri]]</f>
        <v>4.7 Vesihuoltolaitoksen kriittisten palveluiden riittävä saatavuus on määritetty ja varmistettu.</v>
      </c>
      <c r="H65" s="1" t="str">
        <f>KorjattavaaTaulukko[[#This Row],[Vastaus ]]</f>
        <v/>
      </c>
    </row>
    <row r="66" spans="1:8" x14ac:dyDescent="0.25">
      <c r="A66" s="1" t="str">
        <f>Turvallinen_ja_toimintavarma!I63</f>
        <v>Ei kuulu</v>
      </c>
      <c r="B66" s="1" t="str">
        <f>Turvallinen_ja_toimintavarma!P63</f>
        <v/>
      </c>
      <c r="C66" s="163" t="str">
        <f t="shared" si="0"/>
        <v>Ei</v>
      </c>
      <c r="D66" s="1" t="str">
        <f>KorjattavaaTaulukko[[#This Row],[Huoltovarmuuskriteeri]]</f>
        <v>Kyllä</v>
      </c>
      <c r="E66" s="1" t="str">
        <f>KorjattavaaTaulukko[[#This Row],[Pääkategoria]]</f>
        <v>Turvallinen ja toimintavarma</v>
      </c>
      <c r="F66" s="1" t="str">
        <f>KorjattavaaTaulukko[[#This Row],[Alakategoria]]</f>
        <v>4. Kemikaalit, varaosat ja kriittiset palvelut</v>
      </c>
      <c r="G66" s="1" t="str">
        <f>KorjattavaaTaulukko[[#This Row],[Arviointikriteeri]]</f>
        <v>4.8 Palvelutarjoajien kanssa on neuvoteltu jatkuvuudenhallinnasta. (esim. VAP-varaukset)</v>
      </c>
      <c r="H66" s="1" t="str">
        <f>KorjattavaaTaulukko[[#This Row],[Vastaus ]]</f>
        <v/>
      </c>
    </row>
    <row r="67" spans="1:8" x14ac:dyDescent="0.25">
      <c r="A67" s="1" t="str">
        <f>Turvallinen_ja_toimintavarma!I64</f>
        <v>Ei kuulu</v>
      </c>
      <c r="B67" s="1" t="str">
        <f>Turvallinen_ja_toimintavarma!P64</f>
        <v/>
      </c>
      <c r="C67" s="163" t="str">
        <f t="shared" si="0"/>
        <v>Ei</v>
      </c>
      <c r="D67" s="1" t="str">
        <f>KorjattavaaTaulukko[[#This Row],[Huoltovarmuuskriteeri]]</f>
        <v>Kyllä</v>
      </c>
      <c r="E67" s="1" t="str">
        <f>KorjattavaaTaulukko[[#This Row],[Pääkategoria]]</f>
        <v>Turvallinen ja toimintavarma</v>
      </c>
      <c r="F67" s="1" t="str">
        <f>KorjattavaaTaulukko[[#This Row],[Alakategoria]]</f>
        <v>4. Kemikaalit, varaosat ja kriittiset palvelut</v>
      </c>
      <c r="G67" s="1" t="str">
        <f>KorjattavaaTaulukko[[#This Row],[Arviointikriteeri]]</f>
        <v>4.9 Kriittisten palvelujen saanti on otettu huomioon sopimuksissa (esim. SOPIVA-sopimuslausekkeet).</v>
      </c>
      <c r="H67" s="1" t="str">
        <f>KorjattavaaTaulukko[[#This Row],[Vastaus ]]</f>
        <v/>
      </c>
    </row>
    <row r="68" spans="1:8" x14ac:dyDescent="0.25">
      <c r="A68" s="1" t="str">
        <f>Turvallinen_ja_toimintavarma!I65</f>
        <v>Ei kuulu</v>
      </c>
      <c r="B68" s="1" t="str">
        <f>Turvallinen_ja_toimintavarma!P65</f>
        <v/>
      </c>
      <c r="C68" s="163" t="str">
        <f t="shared" si="0"/>
        <v>Ei</v>
      </c>
      <c r="D68" s="1" t="str">
        <f>KorjattavaaTaulukko[[#This Row],[Huoltovarmuuskriteeri]]</f>
        <v>Ei</v>
      </c>
      <c r="E68" s="1" t="str">
        <f>KorjattavaaTaulukko[[#This Row],[Pääkategoria]]</f>
        <v>Kustannustehokas ja organisoitu</v>
      </c>
      <c r="F68" s="1" t="str">
        <f>KorjattavaaTaulukko[[#This Row],[Alakategoria]]</f>
        <v>_Otsikkorivi</v>
      </c>
      <c r="G68" s="1" t="str">
        <f>KorjattavaaTaulukko[[#This Row],[Arviointikriteeri]]</f>
        <v>5. Laitoksella on riittävät henkilöstöresurssit ja ammattitaitoinen henkilökunta, ja varallaolo on suunniteltu</v>
      </c>
      <c r="H68" s="1" t="str">
        <f>KorjattavaaTaulukko[[#This Row],[Vastaus ]]</f>
        <v/>
      </c>
    </row>
    <row r="69" spans="1:8" x14ac:dyDescent="0.25">
      <c r="A69" s="1" t="e">
        <f>Turvallinen_ja_toimintavarma!#REF!</f>
        <v>#REF!</v>
      </c>
      <c r="B69" s="1" t="e">
        <f>Turvallinen_ja_toimintavarma!#REF!</f>
        <v>#REF!</v>
      </c>
      <c r="C69" s="163" t="e">
        <f>IF(AND(A69="Kuuluu",H69="Ei",B69&lt;&gt;"Extra"),"Kyllä","Ei")</f>
        <v>#REF!</v>
      </c>
      <c r="D69" s="1" t="str">
        <f>KorjattavaaTaulukko[[#This Row],[Huoltovarmuuskriteeri]]</f>
        <v>Ei</v>
      </c>
      <c r="E69" s="1" t="str">
        <f>KorjattavaaTaulukko[[#This Row],[Pääkategoria]]</f>
        <v>Kustannustehokas ja organisoitu</v>
      </c>
      <c r="F69" s="1" t="str">
        <f>KorjattavaaTaulukko[[#This Row],[Alakategoria]]</f>
        <v>5. Laitoksella on riittävät henkilöstöresurssit ja ammattitaitoinen henkilökunta, ja varallaolo on suunniteltu</v>
      </c>
      <c r="G69" s="1" t="str">
        <f>KorjattavaaTaulukko[[#This Row],[Arviointikriteeri]]</f>
        <v>5.1 Henkilöstöllä on mahdollisuus kouluttautua ja työnantaja järjestää koulutusta havaitun tarpeen mukaan säännöllisesti.</v>
      </c>
      <c r="H69" s="1" t="str">
        <f>KorjattavaaTaulukko[[#This Row],[Vastaus ]]</f>
        <v/>
      </c>
    </row>
    <row r="70" spans="1:8" x14ac:dyDescent="0.25">
      <c r="A70" s="1" t="str">
        <f>Kustannustehokas_ja_organisoitu!I6</f>
        <v>Ei kuulu</v>
      </c>
      <c r="B70" s="1" t="str">
        <f>Kustannustehokas_ja_organisoitu!P6</f>
        <v/>
      </c>
      <c r="C70" s="163" t="str">
        <f t="shared" si="0"/>
        <v>Ei</v>
      </c>
      <c r="D70" s="1" t="str">
        <f>KorjattavaaTaulukko[[#This Row],[Huoltovarmuuskriteeri]]</f>
        <v>Kyllä</v>
      </c>
      <c r="E70" s="1" t="str">
        <f>KorjattavaaTaulukko[[#This Row],[Pääkategoria]]</f>
        <v>Kustannustehokas ja organisoitu</v>
      </c>
      <c r="F70" s="1" t="str">
        <f>KorjattavaaTaulukko[[#This Row],[Alakategoria]]</f>
        <v>5. Laitoksella on riittävät henkilöstöresurssit ja ammattitaitoinen henkilökunta, ja varallaolo on suunniteltu</v>
      </c>
      <c r="G70" s="1" t="str">
        <f>KorjattavaaTaulukko[[#This Row],[Arviointikriteeri]]</f>
        <v>5.2 Vesihuoltolaitoksella on varallaolojärjestelmä, joka turvaa laitoksen operatiivisen toiminnan 24/7. Työajan ulkopuolisen ajan johtamisjärjestelyt on sovittu ja ohjeistettu. Hälytysyhteystieto on olemassa.</v>
      </c>
      <c r="H70" s="1" t="str">
        <f>KorjattavaaTaulukko[[#This Row],[Vastaus ]]</f>
        <v/>
      </c>
    </row>
    <row r="71" spans="1:8" x14ac:dyDescent="0.25">
      <c r="A71" s="1" t="str">
        <f>Kustannustehokas_ja_organisoitu!I7</f>
        <v>Ei kuulu</v>
      </c>
      <c r="B71" s="1" t="str">
        <f>Kustannustehokas_ja_organisoitu!P7</f>
        <v/>
      </c>
      <c r="C71" s="163" t="str">
        <f t="shared" si="0"/>
        <v>Ei</v>
      </c>
      <c r="D71" s="1" t="str">
        <f>KorjattavaaTaulukko[[#This Row],[Huoltovarmuuskriteeri]]</f>
        <v>Kyllä</v>
      </c>
      <c r="E71" s="1" t="str">
        <f>KorjattavaaTaulukko[[#This Row],[Pääkategoria]]</f>
        <v>Kustannustehokas ja organisoitu</v>
      </c>
      <c r="F71" s="1" t="str">
        <f>KorjattavaaTaulukko[[#This Row],[Alakategoria]]</f>
        <v>5. Laitoksella on riittävät henkilöstöresurssit ja ammattitaitoinen henkilökunta, ja varallaolo on suunniteltu</v>
      </c>
      <c r="G71" s="1" t="str">
        <f>KorjattavaaTaulukko[[#This Row],[Arviointikriteeri]]</f>
        <v>5.3 Henkilökunta pystyy huolehtimaan kaikista operatiiviseen toimintaan liittyvistä kriittisistä toiminnoista itsenäisesti. TAI Vesihuoltolaitoksella on palvelusopimukset kriittisten toimintojen osalta.</v>
      </c>
      <c r="H71" s="1" t="str">
        <f>KorjattavaaTaulukko[[#This Row],[Vastaus ]]</f>
        <v/>
      </c>
    </row>
    <row r="72" spans="1:8" x14ac:dyDescent="0.25">
      <c r="A72" s="1" t="str">
        <f>Kustannustehokas_ja_organisoitu!I8</f>
        <v>Ei kuulu</v>
      </c>
      <c r="B72" s="1" t="str">
        <f>Kustannustehokas_ja_organisoitu!P8</f>
        <v/>
      </c>
      <c r="C72" s="163" t="str">
        <f t="shared" ref="C72:C135" si="2">IF(AND(A72="Kuuluu",H72="Ei",B72&lt;&gt;"Extra"),"Kyllä","Ei")</f>
        <v>Ei</v>
      </c>
      <c r="D72" s="1" t="str">
        <f>KorjattavaaTaulukko[[#This Row],[Huoltovarmuuskriteeri]]</f>
        <v>Kyllä</v>
      </c>
      <c r="E72" s="1" t="str">
        <f>KorjattavaaTaulukko[[#This Row],[Pääkategoria]]</f>
        <v>Kustannustehokas ja organisoitu</v>
      </c>
      <c r="F72" s="1" t="str">
        <f>KorjattavaaTaulukko[[#This Row],[Alakategoria]]</f>
        <v>5. Laitoksella on riittävät henkilöstöresurssit ja ammattitaitoinen henkilökunta, ja varallaolo on suunniteltu</v>
      </c>
      <c r="G72" s="1" t="str">
        <f>KorjattavaaTaulukko[[#This Row],[Arviointikriteeri]]</f>
        <v xml:space="preserve">5.4 Henkilöstölle on laadittu laitoksen omat osaamistasovaatimukset. Osaamistasomäärityksessä voidaan hyödyntää esim. Vesihuoltolaitosten osaamiskriteerit -hankkeen osaamiskartoitustyökalua. </v>
      </c>
      <c r="H72" s="1" t="str">
        <f>KorjattavaaTaulukko[[#This Row],[Vastaus ]]</f>
        <v/>
      </c>
    </row>
    <row r="73" spans="1:8" x14ac:dyDescent="0.25">
      <c r="A73" s="1" t="str">
        <f>Kustannustehokas_ja_organisoitu!I9</f>
        <v>Ei kuulu</v>
      </c>
      <c r="B73" s="1" t="str">
        <f>Kustannustehokas_ja_organisoitu!P9</f>
        <v/>
      </c>
      <c r="C73" s="163" t="str">
        <f t="shared" si="2"/>
        <v>Ei</v>
      </c>
      <c r="D73" s="1" t="str">
        <f>KorjattavaaTaulukko[[#This Row],[Huoltovarmuuskriteeri]]</f>
        <v>Kyllä</v>
      </c>
      <c r="E73" s="1" t="str">
        <f>KorjattavaaTaulukko[[#This Row],[Pääkategoria]]</f>
        <v>Kustannustehokas ja organisoitu</v>
      </c>
      <c r="F73" s="1" t="str">
        <f>KorjattavaaTaulukko[[#This Row],[Alakategoria]]</f>
        <v>5. Laitoksella on riittävät henkilöstöresurssit ja ammattitaitoinen henkilökunta, ja varallaolo on suunniteltu</v>
      </c>
      <c r="G73" s="1" t="str">
        <f>KorjattavaaTaulukko[[#This Row],[Arviointikriteeri]]</f>
        <v>5.5 Avainhenkilöt eli perustoiminnon ylläpitämisessä kriittiset henkilöt on tunnistettu ja nimetty. Avainhenkilöille on nimetty varahenkilöt, jotka on perehdytetty työnkuvaan.</v>
      </c>
      <c r="H73" s="1" t="str">
        <f>KorjattavaaTaulukko[[#This Row],[Vastaus ]]</f>
        <v/>
      </c>
    </row>
    <row r="74" spans="1:8" x14ac:dyDescent="0.25">
      <c r="A74" s="1" t="str">
        <f>Kustannustehokas_ja_organisoitu!I10</f>
        <v>Ei kuulu</v>
      </c>
      <c r="B74" s="1" t="str">
        <f>Kustannustehokas_ja_organisoitu!P10</f>
        <v/>
      </c>
      <c r="C74" s="163" t="str">
        <f t="shared" si="2"/>
        <v>Ei</v>
      </c>
      <c r="D74" s="1" t="str">
        <f>KorjattavaaTaulukko[[#This Row],[Huoltovarmuuskriteeri]]</f>
        <v>Ei</v>
      </c>
      <c r="E74" s="1" t="str">
        <f>KorjattavaaTaulukko[[#This Row],[Pääkategoria]]</f>
        <v>Kustannustehokas ja organisoitu</v>
      </c>
      <c r="F74" s="1" t="str">
        <f>KorjattavaaTaulukko[[#This Row],[Alakategoria]]</f>
        <v>5. Laitoksella on riittävät henkilöstöresurssit ja ammattitaitoinen henkilökunta, ja varallaolo on suunniteltu</v>
      </c>
      <c r="G74" s="1" t="str">
        <f>KorjattavaaTaulukko[[#This Row],[Arviointikriteeri]]</f>
        <v>5.6 Vesihuoltolaitoksella on henkilökuntaa riittävästi, jotta omat tai ostopalvelut pystytään hoitamaan ennalta laaditun aikataulun mukaisesti (materiaalit, suunnittelu, rakentaminen, kunnossapito) ja hankkeita ei tarvitse viivyttää henkilöresurssien takia.</v>
      </c>
      <c r="H74" s="1" t="str">
        <f>KorjattavaaTaulukko[[#This Row],[Vastaus ]]</f>
        <v/>
      </c>
    </row>
    <row r="75" spans="1:8" x14ac:dyDescent="0.25">
      <c r="A75" s="1" t="str">
        <f>Kustannustehokas_ja_organisoitu!I11</f>
        <v>Ei kuulu</v>
      </c>
      <c r="B75" s="1" t="str">
        <f>Kustannustehokas_ja_organisoitu!P11</f>
        <v/>
      </c>
      <c r="C75" s="163" t="str">
        <f t="shared" si="2"/>
        <v>Ei</v>
      </c>
      <c r="D75" s="1" t="str">
        <f>KorjattavaaTaulukko[[#This Row],[Huoltovarmuuskriteeri]]</f>
        <v>Ei</v>
      </c>
      <c r="E75" s="1" t="str">
        <f>KorjattavaaTaulukko[[#This Row],[Pääkategoria]]</f>
        <v>Kustannustehokas ja organisoitu</v>
      </c>
      <c r="F75" s="1" t="str">
        <f>KorjattavaaTaulukko[[#This Row],[Alakategoria]]</f>
        <v>_Otsikkorivi</v>
      </c>
      <c r="G75" s="1" t="str">
        <f>KorjattavaaTaulukko[[#This Row],[Arviointikriteeri]]</f>
        <v>6. Omaisuuden hallinta, operointi ja kunnossapito on suunnitelmallista</v>
      </c>
      <c r="H75" s="1" t="str">
        <f>KorjattavaaTaulukko[[#This Row],[Vastaus ]]</f>
        <v/>
      </c>
    </row>
    <row r="76" spans="1:8" x14ac:dyDescent="0.25">
      <c r="A76" s="1" t="str">
        <f>Kustannustehokas_ja_organisoitu!I12</f>
        <v>Ei kuulu</v>
      </c>
      <c r="B76" s="1" t="str">
        <f>Kustannustehokas_ja_organisoitu!P12</f>
        <v/>
      </c>
      <c r="C76" s="163" t="str">
        <f t="shared" si="2"/>
        <v>Ei</v>
      </c>
      <c r="D76" s="1" t="str">
        <f>KorjattavaaTaulukko[[#This Row],[Huoltovarmuuskriteeri]]</f>
        <v>Ei</v>
      </c>
      <c r="E76" s="1" t="str">
        <f>KorjattavaaTaulukko[[#This Row],[Pääkategoria]]</f>
        <v>Kustannustehokas ja organisoitu</v>
      </c>
      <c r="F76" s="1" t="str">
        <f>KorjattavaaTaulukko[[#This Row],[Alakategoria]]</f>
        <v>6. Omaisuuden hallinta, operointi ja kunnossapito on suunnitelmallista</v>
      </c>
      <c r="G76" s="1" t="str">
        <f>KorjattavaaTaulukko[[#This Row],[Arviointikriteeri]]</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6" s="1" t="str">
        <f>KorjattavaaTaulukko[[#This Row],[Vastaus ]]</f>
        <v/>
      </c>
    </row>
    <row r="77" spans="1:8" x14ac:dyDescent="0.25">
      <c r="A77" s="1" t="str">
        <f>Kustannustehokas_ja_organisoitu!I13</f>
        <v>Ei kuulu</v>
      </c>
      <c r="B77" s="1" t="str">
        <f>Kustannustehokas_ja_organisoitu!P13</f>
        <v/>
      </c>
      <c r="C77" s="163" t="str">
        <f t="shared" si="2"/>
        <v>Ei</v>
      </c>
      <c r="D77" s="1" t="str">
        <f>KorjattavaaTaulukko[[#This Row],[Huoltovarmuuskriteeri]]</f>
        <v>Ei</v>
      </c>
      <c r="E77" s="1" t="str">
        <f>KorjattavaaTaulukko[[#This Row],[Pääkategoria]]</f>
        <v>Kustannustehokas ja organisoitu</v>
      </c>
      <c r="F77" s="1" t="str">
        <f>KorjattavaaTaulukko[[#This Row],[Alakategoria]]</f>
        <v>6. Omaisuuden hallinta, operointi ja kunnossapito on suunnitelmallista</v>
      </c>
      <c r="G77" s="1" t="str">
        <f>KorjattavaaTaulukko[[#This Row],[Arviointikriteeri]]</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7" s="1" t="str">
        <f>KorjattavaaTaulukko[[#This Row],[Vastaus ]]</f>
        <v/>
      </c>
    </row>
    <row r="78" spans="1:8" x14ac:dyDescent="0.25">
      <c r="A78" s="1" t="str">
        <f>Kustannustehokas_ja_organisoitu!I14</f>
        <v>Ei kuulu</v>
      </c>
      <c r="B78" s="1" t="str">
        <f>Kustannustehokas_ja_organisoitu!P14</f>
        <v/>
      </c>
      <c r="C78" s="163" t="str">
        <f t="shared" si="2"/>
        <v>Ei</v>
      </c>
      <c r="D78" s="1" t="str">
        <f>KorjattavaaTaulukko[[#This Row],[Huoltovarmuuskriteeri]]</f>
        <v>Ei</v>
      </c>
      <c r="E78" s="1" t="str">
        <f>KorjattavaaTaulukko[[#This Row],[Pääkategoria]]</f>
        <v>Kustannustehokas ja organisoitu</v>
      </c>
      <c r="F78" s="1" t="str">
        <f>KorjattavaaTaulukko[[#This Row],[Alakategoria]]</f>
        <v>6. Omaisuuden hallinta, operointi ja kunnossapito on suunnitelmallista</v>
      </c>
      <c r="G78" s="1" t="str">
        <f>KorjattavaaTaulukko[[#This Row],[Arviointikriteeri]]</f>
        <v>6.2 Vesihuoltolaitoksen laitosten ja verkostojen automaatiojärjestelmistä kerätään luotettavaa tietoa sähköiseen muotoon.</v>
      </c>
      <c r="H78" s="1" t="str">
        <f>KorjattavaaTaulukko[[#This Row],[Vastaus ]]</f>
        <v/>
      </c>
    </row>
    <row r="79" spans="1:8" x14ac:dyDescent="0.25">
      <c r="A79" s="1" t="str">
        <f>Kustannustehokas_ja_organisoitu!I15</f>
        <v>Ei kuulu</v>
      </c>
      <c r="B79" s="1" t="str">
        <f>Kustannustehokas_ja_organisoitu!P15</f>
        <v/>
      </c>
      <c r="C79" s="163" t="str">
        <f t="shared" si="2"/>
        <v>Ei</v>
      </c>
      <c r="D79" s="1" t="str">
        <f>KorjattavaaTaulukko[[#This Row],[Huoltovarmuuskriteeri]]</f>
        <v>Ei</v>
      </c>
      <c r="E79" s="1" t="str">
        <f>KorjattavaaTaulukko[[#This Row],[Pääkategoria]]</f>
        <v>Kustannustehokas ja organisoitu</v>
      </c>
      <c r="F79" s="1" t="str">
        <f>KorjattavaaTaulukko[[#This Row],[Alakategoria]]</f>
        <v>6. Omaisuuden hallinta, operointi ja kunnossapito on suunnitelmallista</v>
      </c>
      <c r="G79" s="1" t="str">
        <f>KorjattavaaTaulukko[[#This Row],[Arviointikriteeri]]</f>
        <v>6.2 Vesihuoltolaitoksen laitoksen ja verkostojen automaatiojärjestelmistä saadaan ja kerätään jatkuvaa, ajantasaista ja luotettavaa tietoa sähköiseen muotoon.</v>
      </c>
      <c r="H79" s="1" t="str">
        <f>KorjattavaaTaulukko[[#This Row],[Vastaus ]]</f>
        <v/>
      </c>
    </row>
    <row r="80" spans="1:8" x14ac:dyDescent="0.25">
      <c r="A80" s="1" t="str">
        <f>Kustannustehokas_ja_organisoitu!I16</f>
        <v>Ei kuulu</v>
      </c>
      <c r="B80" s="1" t="str">
        <f>Kustannustehokas_ja_organisoitu!P16</f>
        <v/>
      </c>
      <c r="C80" s="163" t="str">
        <f t="shared" si="2"/>
        <v>Ei</v>
      </c>
      <c r="D80" s="1" t="str">
        <f>KorjattavaaTaulukko[[#This Row],[Huoltovarmuuskriteeri]]</f>
        <v>Kyllä</v>
      </c>
      <c r="E80" s="1" t="str">
        <f>KorjattavaaTaulukko[[#This Row],[Pääkategoria]]</f>
        <v>Kustannustehokas ja organisoitu</v>
      </c>
      <c r="F80" s="1" t="str">
        <f>KorjattavaaTaulukko[[#This Row],[Alakategoria]]</f>
        <v>6. Omaisuuden hallinta, operointi ja kunnossapito on suunnitelmallista</v>
      </c>
      <c r="G80" s="1" t="str">
        <f>KorjattavaaTaulukko[[#This Row],[Arviointikriteeri]]</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80" s="1" t="str">
        <f>KorjattavaaTaulukko[[#This Row],[Vastaus ]]</f>
        <v/>
      </c>
    </row>
    <row r="81" spans="1:8" x14ac:dyDescent="0.25">
      <c r="A81" s="1" t="str">
        <f>Kustannustehokas_ja_organisoitu!I17</f>
        <v>Ei kuulu</v>
      </c>
      <c r="B81" s="1" t="str">
        <f>Kustannustehokas_ja_organisoitu!P17</f>
        <v/>
      </c>
      <c r="C81" s="163" t="str">
        <f t="shared" si="2"/>
        <v>Ei</v>
      </c>
      <c r="D81" s="1" t="str">
        <f>KorjattavaaTaulukko[[#This Row],[Huoltovarmuuskriteeri]]</f>
        <v>Ei</v>
      </c>
      <c r="E81" s="1" t="str">
        <f>KorjattavaaTaulukko[[#This Row],[Pääkategoria]]</f>
        <v>Kustannustehokas ja organisoitu</v>
      </c>
      <c r="F81" s="1" t="str">
        <f>KorjattavaaTaulukko[[#This Row],[Alakategoria]]</f>
        <v>6. Omaisuuden hallinta, operointi ja kunnossapito on suunnitelmallista</v>
      </c>
      <c r="G81" s="1" t="str">
        <f>KorjattavaaTaulukko[[#This Row],[Arviointikriteeri]]</f>
        <v>6.4 Vesihuoltolaitos on määrittänyt toiminnalleen KPI-mittarit (key performance indicator), joita seurataan.</v>
      </c>
      <c r="H81" s="1" t="str">
        <f>KorjattavaaTaulukko[[#This Row],[Vastaus ]]</f>
        <v/>
      </c>
    </row>
    <row r="82" spans="1:8" x14ac:dyDescent="0.25">
      <c r="A82" s="1" t="str">
        <f>Kustannustehokas_ja_organisoitu!I18</f>
        <v>Ei kuulu</v>
      </c>
      <c r="B82" s="1" t="str">
        <f>Kustannustehokas_ja_organisoitu!P18</f>
        <v/>
      </c>
      <c r="C82" s="163" t="str">
        <f t="shared" si="2"/>
        <v>Ei</v>
      </c>
      <c r="D82" s="1" t="str">
        <f>KorjattavaaTaulukko[[#This Row],[Huoltovarmuuskriteeri]]</f>
        <v>Ei</v>
      </c>
      <c r="E82" s="1" t="str">
        <f>KorjattavaaTaulukko[[#This Row],[Pääkategoria]]</f>
        <v>Kustannustehokas ja organisoitu</v>
      </c>
      <c r="F82" s="1" t="str">
        <f>KorjattavaaTaulukko[[#This Row],[Alakategoria]]</f>
        <v>6. Omaisuuden hallinta, operointi ja kunnossapito on suunnitelmallista</v>
      </c>
      <c r="G82" s="1" t="str">
        <f>KorjattavaaTaulukko[[#This Row],[Arviointikriteeri]]</f>
        <v>6.5 Vesihuoltolaitoksen laitoksista ja verkostoista kerätään järjestelmällisesti tietoa suunnittelun, rakentamisen, saneerauksen ja kunnossapidon osalta.</v>
      </c>
      <c r="H82" s="1" t="str">
        <f>KorjattavaaTaulukko[[#This Row],[Vastaus ]]</f>
        <v/>
      </c>
    </row>
    <row r="83" spans="1:8" x14ac:dyDescent="0.25">
      <c r="A83" s="1" t="str">
        <f>Kustannustehokas_ja_organisoitu!I19</f>
        <v>Ei kuulu</v>
      </c>
      <c r="B83" s="1" t="str">
        <f>Kustannustehokas_ja_organisoitu!P19</f>
        <v/>
      </c>
      <c r="C83" s="163" t="str">
        <f t="shared" si="2"/>
        <v>Ei</v>
      </c>
      <c r="D83" s="1" t="str">
        <f>KorjattavaaTaulukko[[#This Row],[Huoltovarmuuskriteeri]]</f>
        <v>Ei</v>
      </c>
      <c r="E83" s="1" t="str">
        <f>KorjattavaaTaulukko[[#This Row],[Pääkategoria]]</f>
        <v>Kustannustehokas ja organisoitu</v>
      </c>
      <c r="F83" s="1" t="str">
        <f>KorjattavaaTaulukko[[#This Row],[Alakategoria]]</f>
        <v>6. Omaisuuden hallinta, operointi ja kunnossapito on suunnitelmallista</v>
      </c>
      <c r="G83" s="1" t="str">
        <f>KorjattavaaTaulukko[[#This Row],[Arviointikriteeri]]</f>
        <v>6.6 Vesihuoltolaitos käyttää sähköistä kunnossapitojärjestelmää.</v>
      </c>
      <c r="H83" s="1" t="str">
        <f>KorjattavaaTaulukko[[#This Row],[Vastaus ]]</f>
        <v/>
      </c>
    </row>
    <row r="84" spans="1:8" x14ac:dyDescent="0.25">
      <c r="A84" s="1" t="str">
        <f>Kustannustehokas_ja_organisoitu!I20</f>
        <v>Ei kuulu</v>
      </c>
      <c r="B84" s="1" t="str">
        <f>Kustannustehokas_ja_organisoitu!P20</f>
        <v/>
      </c>
      <c r="C84" s="163" t="str">
        <f t="shared" si="2"/>
        <v>Ei</v>
      </c>
      <c r="D84" s="1" t="str">
        <f>KorjattavaaTaulukko[[#This Row],[Huoltovarmuuskriteeri]]</f>
        <v>Ei</v>
      </c>
      <c r="E84" s="1" t="str">
        <f>KorjattavaaTaulukko[[#This Row],[Pääkategoria]]</f>
        <v>Kustannustehokas ja organisoitu</v>
      </c>
      <c r="F84" s="1" t="str">
        <f>KorjattavaaTaulukko[[#This Row],[Alakategoria]]</f>
        <v>6. Omaisuuden hallinta, operointi ja kunnossapito on suunnitelmallista</v>
      </c>
      <c r="G84" s="1" t="str">
        <f>KorjattavaaTaulukko[[#This Row],[Arviointikriteeri]]</f>
        <v xml:space="preserve">6.7 Vesihuoltolaitoksen vedenjakeluverkoston vuotoja mitataan ja seurataan ja vuotavuusprosentti on määritelty verkostoalueittain. </v>
      </c>
      <c r="H84" s="1" t="str">
        <f>KorjattavaaTaulukko[[#This Row],[Vastaus ]]</f>
        <v/>
      </c>
    </row>
    <row r="85" spans="1:8" x14ac:dyDescent="0.25">
      <c r="A85" s="1" t="str">
        <f>Kustannustehokas_ja_organisoitu!I21</f>
        <v>Ei kuulu</v>
      </c>
      <c r="B85" s="1" t="str">
        <f>Kustannustehokas_ja_organisoitu!P21</f>
        <v/>
      </c>
      <c r="C85" s="163" t="str">
        <f t="shared" si="2"/>
        <v>Ei</v>
      </c>
      <c r="D85" s="1" t="str">
        <f>KorjattavaaTaulukko[[#This Row],[Huoltovarmuuskriteeri]]</f>
        <v>Ei</v>
      </c>
      <c r="E85" s="1" t="str">
        <f>KorjattavaaTaulukko[[#This Row],[Pääkategoria]]</f>
        <v>Kustannustehokas ja organisoitu</v>
      </c>
      <c r="F85" s="1" t="str">
        <f>KorjattavaaTaulukko[[#This Row],[Alakategoria]]</f>
        <v>6. Omaisuuden hallinta, operointi ja kunnossapito on suunnitelmallista</v>
      </c>
      <c r="G85" s="1" t="str">
        <f>KorjattavaaTaulukko[[#This Row],[Arviointikriteeri]]</f>
        <v>6.8 Vesihuoltolaitoksella on pitkän aikavälin omaisuudenhallintasuunnitelma (20 v).</v>
      </c>
      <c r="H85" s="1" t="str">
        <f>KorjattavaaTaulukko[[#This Row],[Vastaus ]]</f>
        <v/>
      </c>
    </row>
    <row r="86" spans="1:8" x14ac:dyDescent="0.25">
      <c r="A86" s="1" t="str">
        <f>Kustannustehokas_ja_organisoitu!I22</f>
        <v>Ei kuulu</v>
      </c>
      <c r="B86" s="1" t="str">
        <f>Kustannustehokas_ja_organisoitu!P22</f>
        <v/>
      </c>
      <c r="C86" s="163" t="str">
        <f t="shared" si="2"/>
        <v>Ei</v>
      </c>
      <c r="D86" s="1" t="str">
        <f>KorjattavaaTaulukko[[#This Row],[Huoltovarmuuskriteeri]]</f>
        <v>Ei</v>
      </c>
      <c r="E86" s="1" t="str">
        <f>KorjattavaaTaulukko[[#This Row],[Pääkategoria]]</f>
        <v>Kustannustehokas ja organisoitu</v>
      </c>
      <c r="F86" s="1" t="str">
        <f>KorjattavaaTaulukko[[#This Row],[Alakategoria]]</f>
        <v>6. Omaisuuden hallinta, operointi ja kunnossapito on suunnitelmallista</v>
      </c>
      <c r="G86" s="1" t="str">
        <f>KorjattavaaTaulukko[[#This Row],[Arviointikriteeri]]</f>
        <v>6.9 Vesihuoltolaitoksella on käytössä auditoitu omaisuudenhallinnan johtamisjärjestelmä (esim. ISO 55000).</v>
      </c>
      <c r="H86" s="1" t="str">
        <f>KorjattavaaTaulukko[[#This Row],[Vastaus ]]</f>
        <v/>
      </c>
    </row>
    <row r="87" spans="1:8" x14ac:dyDescent="0.25">
      <c r="A87" s="1" t="str">
        <f>Kustannustehokas_ja_organisoitu!I23</f>
        <v>Ei kuulu</v>
      </c>
      <c r="B87" s="1" t="str">
        <f>Kustannustehokas_ja_organisoitu!P23</f>
        <v/>
      </c>
      <c r="C87" s="163" t="str">
        <f t="shared" si="2"/>
        <v>Ei</v>
      </c>
      <c r="D87" s="1" t="str">
        <f>KorjattavaaTaulukko[[#This Row],[Huoltovarmuuskriteeri]]</f>
        <v>Ei</v>
      </c>
      <c r="E87" s="1" t="str">
        <f>KorjattavaaTaulukko[[#This Row],[Pääkategoria]]</f>
        <v>Kustannustehokas ja organisoitu</v>
      </c>
      <c r="F87" s="1" t="str">
        <f>KorjattavaaTaulukko[[#This Row],[Alakategoria]]</f>
        <v>6. Omaisuuden hallinta, operointi ja kunnossapito on suunnitelmallista</v>
      </c>
      <c r="G87" s="1" t="str">
        <f>KorjattavaaTaulukko[[#This Row],[Arviointikriteeri]]</f>
        <v>6.10 Vesihuoltolaitoksen laitosten ja verkoston automaatiojärjestelmistä saadaan jatkuvaa, ajantasaista ja virheetöntä tietoa räätälöidysti raportoituna organisaation eri tasoille. Tietoa hyödynnetään päätöksenteossa.</v>
      </c>
      <c r="H87" s="1" t="str">
        <f>KorjattavaaTaulukko[[#This Row],[Vastaus ]]</f>
        <v/>
      </c>
    </row>
    <row r="88" spans="1:8" x14ac:dyDescent="0.25">
      <c r="A88" s="1" t="str">
        <f>Kustannustehokas_ja_organisoitu!I24</f>
        <v>Ei kuulu</v>
      </c>
      <c r="B88" s="1" t="str">
        <f>Kustannustehokas_ja_organisoitu!P24</f>
        <v/>
      </c>
      <c r="C88" s="163" t="str">
        <f t="shared" si="2"/>
        <v>Ei</v>
      </c>
      <c r="D88" s="1" t="str">
        <f>KorjattavaaTaulukko[[#This Row],[Huoltovarmuuskriteeri]]</f>
        <v>Ei</v>
      </c>
      <c r="E88" s="1" t="str">
        <f>KorjattavaaTaulukko[[#This Row],[Pääkategoria]]</f>
        <v>Kustannustehokas ja organisoitu</v>
      </c>
      <c r="F88" s="1" t="str">
        <f>KorjattavaaTaulukko[[#This Row],[Alakategoria]]</f>
        <v>_Otsikkorivi</v>
      </c>
      <c r="G88" s="1" t="str">
        <f>KorjattavaaTaulukko[[#This Row],[Arviointikriteeri]]</f>
        <v>7. Johtaminen on suunniteltua ja toiminta on kannattavaa</v>
      </c>
      <c r="H88" s="1" t="str">
        <f>KorjattavaaTaulukko[[#This Row],[Vastaus ]]</f>
        <v/>
      </c>
    </row>
    <row r="89" spans="1:8" x14ac:dyDescent="0.25">
      <c r="A89" s="1" t="str">
        <f>Kustannustehokas_ja_organisoitu!I25</f>
        <v>Ei kuulu</v>
      </c>
      <c r="B89" s="1" t="str">
        <f>Kustannustehokas_ja_organisoitu!P25</f>
        <v/>
      </c>
      <c r="C89" s="163" t="str">
        <f t="shared" si="2"/>
        <v>Ei</v>
      </c>
      <c r="D89" s="1" t="str">
        <f>KorjattavaaTaulukko[[#This Row],[Huoltovarmuuskriteeri]]</f>
        <v>Ei</v>
      </c>
      <c r="E89" s="1" t="str">
        <f>KorjattavaaTaulukko[[#This Row],[Pääkategoria]]</f>
        <v>Kustannustehokas ja organisoitu</v>
      </c>
      <c r="F89" s="1" t="str">
        <f>KorjattavaaTaulukko[[#This Row],[Alakategoria]]</f>
        <v>7. Johtaminen on suunniteltua ja toiminta on kannattavaa</v>
      </c>
      <c r="G89" s="1" t="str">
        <f>KorjattavaaTaulukko[[#This Row],[Arviointikriteeri]]</f>
        <v>7.1 Vesihuoltolaitoksella on selkeä kulut ja tuotot erittelevä taloushallintajärjestelmä tai vastaava pienille laitoksille soveltuva järjestelmä luokan 1 laitoksille.</v>
      </c>
      <c r="H89" s="1" t="str">
        <f>KorjattavaaTaulukko[[#This Row],[Vastaus ]]</f>
        <v/>
      </c>
    </row>
    <row r="90" spans="1:8" x14ac:dyDescent="0.25">
      <c r="A90" s="1" t="str">
        <f>Kustannustehokas_ja_organisoitu!I26</f>
        <v>Ei kuulu</v>
      </c>
      <c r="B90" s="1" t="str">
        <f>Kustannustehokas_ja_organisoitu!P26</f>
        <v/>
      </c>
      <c r="C90" s="163" t="str">
        <f t="shared" si="2"/>
        <v>Ei</v>
      </c>
      <c r="D90" s="1" t="str">
        <f>KorjattavaaTaulukko[[#This Row],[Huoltovarmuuskriteeri]]</f>
        <v>Kyllä</v>
      </c>
      <c r="E90" s="1" t="str">
        <f>KorjattavaaTaulukko[[#This Row],[Pääkategoria]]</f>
        <v>Kustannustehokas ja organisoitu</v>
      </c>
      <c r="F90" s="1" t="str">
        <f>KorjattavaaTaulukko[[#This Row],[Alakategoria]]</f>
        <v>7. Johtaminen on suunniteltua ja toiminta on kannattavaa</v>
      </c>
      <c r="G90" s="1" t="str">
        <f>KorjattavaaTaulukko[[#This Row],[Arviointikriteeri]]</f>
        <v>7.2 Vesihuoltolaitoksella on ajantasainen pitkän aikavälin (min. 20 v) investointiohjelma, jossa on otettu huomioon vesihuollon ja kunnan tarpeet, huomioitu vesihuollon kehittämissuunnitelma sekä toimintavarmuus.</v>
      </c>
      <c r="H90" s="1" t="str">
        <f>KorjattavaaTaulukko[[#This Row],[Vastaus ]]</f>
        <v/>
      </c>
    </row>
    <row r="91" spans="1:8" x14ac:dyDescent="0.25">
      <c r="A91" s="1" t="str">
        <f>Kustannustehokas_ja_organisoitu!I27</f>
        <v>Ei kuulu</v>
      </c>
      <c r="B91" s="1" t="str">
        <f>Kustannustehokas_ja_organisoitu!P27</f>
        <v/>
      </c>
      <c r="C91" s="163" t="str">
        <f t="shared" si="2"/>
        <v>Ei</v>
      </c>
      <c r="D91" s="1" t="str">
        <f>KorjattavaaTaulukko[[#This Row],[Huoltovarmuuskriteeri]]</f>
        <v>Kyllä</v>
      </c>
      <c r="E91" s="1" t="str">
        <f>KorjattavaaTaulukko[[#This Row],[Pääkategoria]]</f>
        <v>Kustannustehokas ja organisoitu</v>
      </c>
      <c r="F91" s="1" t="str">
        <f>KorjattavaaTaulukko[[#This Row],[Alakategoria]]</f>
        <v>7. Johtaminen on suunniteltua ja toiminta on kannattavaa</v>
      </c>
      <c r="G91" s="1" t="str">
        <f>KorjattavaaTaulukko[[#This Row],[Arviointikriteeri]]</f>
        <v>7.3 Vesihuoltolaitoksen perimät maksut ovat sellaiset, että pitkällä aikavälillä (20 v.) voidaan kattaa vesihuoltolaitoksen suunnitellut uus- ja korjausinvestoinnit ja käyttökustannukset.</v>
      </c>
      <c r="H91" s="1" t="str">
        <f>KorjattavaaTaulukko[[#This Row],[Vastaus ]]</f>
        <v/>
      </c>
    </row>
    <row r="92" spans="1:8" x14ac:dyDescent="0.25">
      <c r="A92" s="1" t="str">
        <f>Kustannustehokas_ja_organisoitu!I28</f>
        <v>Ei kuulu</v>
      </c>
      <c r="B92" s="1" t="str">
        <f>Kustannustehokas_ja_organisoitu!P28</f>
        <v/>
      </c>
      <c r="C92" s="163" t="str">
        <f t="shared" si="2"/>
        <v>Ei</v>
      </c>
      <c r="D92" s="1" t="str">
        <f>KorjattavaaTaulukko[[#This Row],[Huoltovarmuuskriteeri]]</f>
        <v>Ei</v>
      </c>
      <c r="E92" s="1" t="str">
        <f>KorjattavaaTaulukko[[#This Row],[Pääkategoria]]</f>
        <v>Kustannustehokas ja organisoitu</v>
      </c>
      <c r="F92" s="1" t="str">
        <f>KorjattavaaTaulukko[[#This Row],[Alakategoria]]</f>
        <v>7. Johtaminen on suunniteltua ja toiminta on kannattavaa</v>
      </c>
      <c r="G92" s="1" t="str">
        <f>KorjattavaaTaulukko[[#This Row],[Arviointikriteeri]]</f>
        <v>7.4 Vesihuoltolaitoksella on laadunhallintajärjestelmä tai toiminta on muuten järjestelmällistä ja kirjallisesti/sähköisesti dokumentoitua.</v>
      </c>
      <c r="H92" s="1" t="str">
        <f>KorjattavaaTaulukko[[#This Row],[Vastaus ]]</f>
        <v/>
      </c>
    </row>
    <row r="93" spans="1:8" x14ac:dyDescent="0.25">
      <c r="A93" s="1" t="str">
        <f>Kustannustehokas_ja_organisoitu!I29</f>
        <v>Ei kuulu</v>
      </c>
      <c r="B93" s="1" t="str">
        <f>Kustannustehokas_ja_organisoitu!P29</f>
        <v/>
      </c>
      <c r="C93" s="163" t="str">
        <f t="shared" si="2"/>
        <v>Ei</v>
      </c>
      <c r="D93" s="1" t="str">
        <f>KorjattavaaTaulukko[[#This Row],[Huoltovarmuuskriteeri]]</f>
        <v>Kyllä</v>
      </c>
      <c r="E93" s="1" t="str">
        <f>KorjattavaaTaulukko[[#This Row],[Pääkategoria]]</f>
        <v>Kustannustehokas ja organisoitu</v>
      </c>
      <c r="F93" s="1" t="str">
        <f>KorjattavaaTaulukko[[#This Row],[Alakategoria]]</f>
        <v>7. Johtaminen on suunniteltua ja toiminta on kannattavaa</v>
      </c>
      <c r="G93" s="1" t="str">
        <f>KorjattavaaTaulukko[[#This Row],[Arviointikriteeri]]</f>
        <v>7.5 Vesihuoltolaitoksen tietojen hallinta on suunniteltua ja järjestelmällistä (esim. tiedonhallintasuunnitelma ja järjestelmä) eli varmistetaan tietojen turvallinen luokittelu, käsittely ja säilytys.</v>
      </c>
      <c r="H93" s="1" t="str">
        <f>KorjattavaaTaulukko[[#This Row],[Vastaus ]]</f>
        <v/>
      </c>
    </row>
    <row r="94" spans="1:8" x14ac:dyDescent="0.25">
      <c r="A94" s="1" t="str">
        <f>Kustannustehokas_ja_organisoitu!I30</f>
        <v>Ei kuulu</v>
      </c>
      <c r="B94" s="1" t="str">
        <f>Kustannustehokas_ja_organisoitu!P30</f>
        <v/>
      </c>
      <c r="C94" s="163" t="str">
        <f t="shared" si="2"/>
        <v>Ei</v>
      </c>
      <c r="D94" s="1" t="str">
        <f>KorjattavaaTaulukko[[#This Row],[Huoltovarmuuskriteeri]]</f>
        <v>Ei</v>
      </c>
      <c r="E94" s="1" t="str">
        <f>KorjattavaaTaulukko[[#This Row],[Pääkategoria]]</f>
        <v>Kustannustehokas ja organisoitu</v>
      </c>
      <c r="F94" s="1" t="str">
        <f>KorjattavaaTaulukko[[#This Row],[Alakategoria]]</f>
        <v>7. Johtaminen on suunniteltua ja toiminta on kannattavaa</v>
      </c>
      <c r="G94" s="1" t="str">
        <f>KorjattavaaTaulukko[[#This Row],[Arviointikriteeri]]</f>
        <v>7.6 Vesihuoltolaitoksen toiminnasta kerätään järjestelmällisesti tietoa operatiivisen toiminnan (=päivittäisen toiminnan johtamisen) osalta.</v>
      </c>
      <c r="H94" s="1" t="str">
        <f>KorjattavaaTaulukko[[#This Row],[Vastaus ]]</f>
        <v/>
      </c>
    </row>
    <row r="95" spans="1:8" x14ac:dyDescent="0.25">
      <c r="A95" s="1" t="str">
        <f>Kustannustehokas_ja_organisoitu!I31</f>
        <v>Ei kuulu</v>
      </c>
      <c r="B95" s="1" t="str">
        <f>Kustannustehokas_ja_organisoitu!P31</f>
        <v/>
      </c>
      <c r="C95" s="163" t="str">
        <f t="shared" si="2"/>
        <v>Ei</v>
      </c>
      <c r="D95" s="1" t="str">
        <f>KorjattavaaTaulukko[[#This Row],[Huoltovarmuuskriteeri]]</f>
        <v>Ei</v>
      </c>
      <c r="E95" s="1" t="str">
        <f>KorjattavaaTaulukko[[#This Row],[Pääkategoria]]</f>
        <v>Kustannustehokas ja organisoitu</v>
      </c>
      <c r="F95" s="1" t="str">
        <f>KorjattavaaTaulukko[[#This Row],[Alakategoria]]</f>
        <v>7. Johtaminen on suunniteltua ja toiminta on kannattavaa</v>
      </c>
      <c r="G95" s="1" t="str">
        <f>KorjattavaaTaulukko[[#This Row],[Arviointikriteeri]]</f>
        <v>7.6 Vesihuoltolaitoksen operatiivisesta toiminnasta kerätään järjestelmällisesti oleellista tietoa, jota hyödynnetään johtamisessa</v>
      </c>
      <c r="H95" s="1" t="str">
        <f>KorjattavaaTaulukko[[#This Row],[Vastaus ]]</f>
        <v/>
      </c>
    </row>
    <row r="96" spans="1:8" x14ac:dyDescent="0.25">
      <c r="A96" s="1" t="str">
        <f>Kustannustehokas_ja_organisoitu!I32</f>
        <v>Ei kuulu</v>
      </c>
      <c r="B96" s="1" t="str">
        <f>Kustannustehokas_ja_organisoitu!P32</f>
        <v/>
      </c>
      <c r="C96" s="163" t="str">
        <f t="shared" si="2"/>
        <v>Ei</v>
      </c>
      <c r="D96" s="1" t="str">
        <f>KorjattavaaTaulukko[[#This Row],[Huoltovarmuuskriteeri]]</f>
        <v>Ei</v>
      </c>
      <c r="E96" s="1" t="str">
        <f>KorjattavaaTaulukko[[#This Row],[Pääkategoria]]</f>
        <v>Kustannustehokas ja organisoitu</v>
      </c>
      <c r="F96" s="1" t="str">
        <f>KorjattavaaTaulukko[[#This Row],[Alakategoria]]</f>
        <v>7. Johtaminen on suunniteltua ja toiminta on kannattavaa</v>
      </c>
      <c r="G96" s="1" t="str">
        <f>KorjattavaaTaulukko[[#This Row],[Arviointikriteeri]]</f>
        <v>7.7 Vesihuoltolaitoksella on käytössä operatiivisen toiminnan johtamisjärjestelmä (sisältää esim. vastuunjaon ja tehtäväkuvaukset) ja jatkuvan parantamisen toimintatapa.</v>
      </c>
      <c r="H96" s="1" t="str">
        <f>KorjattavaaTaulukko[[#This Row],[Vastaus ]]</f>
        <v/>
      </c>
    </row>
    <row r="97" spans="1:8" x14ac:dyDescent="0.25">
      <c r="A97" s="1" t="str">
        <f>Kustannustehokas_ja_organisoitu!I33</f>
        <v>Ei kuulu</v>
      </c>
      <c r="B97" s="1" t="str">
        <f>Kustannustehokas_ja_organisoitu!P33</f>
        <v/>
      </c>
      <c r="C97" s="163" t="str">
        <f t="shared" si="2"/>
        <v>Ei</v>
      </c>
      <c r="D97" s="1" t="str">
        <f>KorjattavaaTaulukko[[#This Row],[Huoltovarmuuskriteeri]]</f>
        <v>Ei</v>
      </c>
      <c r="E97" s="1" t="str">
        <f>KorjattavaaTaulukko[[#This Row],[Pääkategoria]]</f>
        <v>Kustannustehokas ja organisoitu</v>
      </c>
      <c r="F97" s="1" t="str">
        <f>KorjattavaaTaulukko[[#This Row],[Alakategoria]]</f>
        <v>7. Johtaminen on suunniteltua ja toiminta on kannattavaa</v>
      </c>
      <c r="G97" s="1" t="str">
        <f>KorjattavaaTaulukko[[#This Row],[Arviointikriteeri]]</f>
        <v>7.8 Vesihuoltolaitos on kartoittanut tarpeen erisuuruisille perus- ja liittymismaksuille eri alueilla ja ottanut ne käyttöön niiden soveltuessa.</v>
      </c>
      <c r="H97" s="1" t="str">
        <f>KorjattavaaTaulukko[[#This Row],[Vastaus ]]</f>
        <v/>
      </c>
    </row>
    <row r="98" spans="1:8" x14ac:dyDescent="0.25">
      <c r="A98" s="1" t="str">
        <f>Kustannustehokas_ja_organisoitu!I34</f>
        <v>Ei kuulu</v>
      </c>
      <c r="B98" s="1" t="str">
        <f>Kustannustehokas_ja_organisoitu!P34</f>
        <v/>
      </c>
      <c r="C98" s="163" t="str">
        <f t="shared" si="2"/>
        <v>Ei</v>
      </c>
      <c r="D98" s="1" t="str">
        <f>KorjattavaaTaulukko[[#This Row],[Huoltovarmuuskriteeri]]</f>
        <v>Ei</v>
      </c>
      <c r="E98" s="1" t="str">
        <f>KorjattavaaTaulukko[[#This Row],[Pääkategoria]]</f>
        <v>Kustannustehokas ja organisoitu</v>
      </c>
      <c r="F98" s="1" t="str">
        <f>KorjattavaaTaulukko[[#This Row],[Alakategoria]]</f>
        <v>7. Johtaminen on suunniteltua ja toiminta on kannattavaa</v>
      </c>
      <c r="G98" s="1" t="str">
        <f>KorjattavaaTaulukko[[#This Row],[Arviointikriteeri]]</f>
        <v>7.9 Vesihuoltolaitoksen henkilöstöllä ja johdolla on tulostavoitteet ja tulosmittarit tai muu määritelty ja mitattava ajuri, jota seurataan ja hyödynnetään toiminnan kehittämisessä.</v>
      </c>
      <c r="H98" s="1" t="str">
        <f>KorjattavaaTaulukko[[#This Row],[Vastaus ]]</f>
        <v/>
      </c>
    </row>
    <row r="99" spans="1:8" x14ac:dyDescent="0.25">
      <c r="A99" s="1" t="str">
        <f>Kustannustehokas_ja_organisoitu!I35</f>
        <v>Ei kuulu</v>
      </c>
      <c r="B99" s="1" t="str">
        <f>Kustannustehokas_ja_organisoitu!P35</f>
        <v/>
      </c>
      <c r="C99" s="163" t="str">
        <f t="shared" si="2"/>
        <v>Ei</v>
      </c>
      <c r="D99" s="1" t="str">
        <f>KorjattavaaTaulukko[[#This Row],[Huoltovarmuuskriteeri]]</f>
        <v>Ei</v>
      </c>
      <c r="E99" s="1" t="str">
        <f>KorjattavaaTaulukko[[#This Row],[Pääkategoria]]</f>
        <v>Kustannustehokas ja organisoitu</v>
      </c>
      <c r="F99" s="1" t="str">
        <f>KorjattavaaTaulukko[[#This Row],[Alakategoria]]</f>
        <v>7. Johtaminen on suunniteltua ja toiminta on kannattavaa</v>
      </c>
      <c r="G99" s="1" t="str">
        <f>KorjattavaaTaulukko[[#This Row],[Arviointikriteeri]]</f>
        <v>7.10 Vesihuoltolaitoksella on käytössä auditoidut ISO 9001-laatujärjestelmä sekä ISO 14001 -ympäristöjärjestelmä tai muu vastaava järjestelmä.</v>
      </c>
      <c r="H99" s="1" t="str">
        <f>KorjattavaaTaulukko[[#This Row],[Vastaus ]]</f>
        <v/>
      </c>
    </row>
    <row r="100" spans="1:8" x14ac:dyDescent="0.25">
      <c r="A100" s="1" t="str">
        <f>Kustannustehokas_ja_organisoitu!I36</f>
        <v>Ei kuulu</v>
      </c>
      <c r="B100" s="1" t="str">
        <f>Kustannustehokas_ja_organisoitu!P36</f>
        <v/>
      </c>
      <c r="C100" s="163" t="str">
        <f t="shared" si="2"/>
        <v>Ei</v>
      </c>
      <c r="D100" s="1" t="str">
        <f>KorjattavaaTaulukko[[#This Row],[Huoltovarmuuskriteeri]]</f>
        <v>Ei</v>
      </c>
      <c r="E100" s="1" t="str">
        <f>KorjattavaaTaulukko[[#This Row],[Pääkategoria]]</f>
        <v>Kustannustehokas ja organisoitu</v>
      </c>
      <c r="F100" s="1" t="str">
        <f>KorjattavaaTaulukko[[#This Row],[Alakategoria]]</f>
        <v>7. Johtaminen on suunniteltua ja toiminta on kannattavaa</v>
      </c>
      <c r="G100" s="1" t="str">
        <f>KorjattavaaTaulukko[[#This Row],[Arviointikriteeri]]</f>
        <v>7.11 Vesihuoltolaitoksella on käytössä auditoitu ISO 45001 työterveys- ja turvallisuusjärjestelmä tai muu vastaava.</v>
      </c>
      <c r="H100" s="1" t="str">
        <f>KorjattavaaTaulukko[[#This Row],[Vastaus ]]</f>
        <v/>
      </c>
    </row>
    <row r="101" spans="1:8" x14ac:dyDescent="0.25">
      <c r="A101" s="1" t="str">
        <f>Kustannustehokas_ja_organisoitu!I37</f>
        <v>Ei kuulu</v>
      </c>
      <c r="B101" s="1" t="str">
        <f>Kustannustehokas_ja_organisoitu!P37</f>
        <v/>
      </c>
      <c r="C101" s="163" t="str">
        <f t="shared" si="2"/>
        <v>Ei</v>
      </c>
      <c r="D101" s="1" t="str">
        <f>KorjattavaaTaulukko[[#This Row],[Huoltovarmuuskriteeri]]</f>
        <v>Ei</v>
      </c>
      <c r="E101" s="1" t="str">
        <f>KorjattavaaTaulukko[[#This Row],[Pääkategoria]]</f>
        <v>Kustannustehokas ja organisoitu</v>
      </c>
      <c r="F101" s="1" t="str">
        <f>KorjattavaaTaulukko[[#This Row],[Alakategoria]]</f>
        <v>_Otsikkorivi</v>
      </c>
      <c r="G101" s="1" t="str">
        <f>KorjattavaaTaulukko[[#This Row],[Arviointikriteeri]]</f>
        <v>8. Käyttötalouden hallinta ja hankinnat ovat suunniteltuja, tehostettuja ja läpinäkyviä.</v>
      </c>
      <c r="H101" s="1" t="str">
        <f>KorjattavaaTaulukko[[#This Row],[Vastaus ]]</f>
        <v/>
      </c>
    </row>
    <row r="102" spans="1:8" x14ac:dyDescent="0.25">
      <c r="A102" s="1" t="str">
        <f>Kustannustehokas_ja_organisoitu!I38</f>
        <v>Ei kuulu</v>
      </c>
      <c r="B102" s="1" t="str">
        <f>Kustannustehokas_ja_organisoitu!P38</f>
        <v/>
      </c>
      <c r="C102" s="163" t="str">
        <f t="shared" si="2"/>
        <v>Ei</v>
      </c>
      <c r="D102" s="1" t="str">
        <f>KorjattavaaTaulukko[[#This Row],[Huoltovarmuuskriteeri]]</f>
        <v>Ei</v>
      </c>
      <c r="E102" s="1" t="str">
        <f>KorjattavaaTaulukko[[#This Row],[Pääkategoria]]</f>
        <v>Kustannustehokas ja organisoitu</v>
      </c>
      <c r="F102" s="1" t="str">
        <f>KorjattavaaTaulukko[[#This Row],[Alakategoria]]</f>
        <v>8. Käyttötalouden hallinta ja hankinnat ovat suunniteltuja, tehostettuja ja läpinäkyviä.</v>
      </c>
      <c r="G102" s="1" t="str">
        <f>KorjattavaaTaulukko[[#This Row],[Arviointikriteeri]]</f>
        <v>8.1 Vesihuoltolaitoksen hyödykkeiden kulutusta seurataan. Hyödykkeellä tarkoitetaan vesilaitoksen toiminnassaan käyttämiä aineita, tarvikkeita tai palveluita, kuten esim. kemikaaleja, sähköä, rakentamispalvelua tms.</v>
      </c>
      <c r="H102" s="1" t="str">
        <f>KorjattavaaTaulukko[[#This Row],[Vastaus ]]</f>
        <v/>
      </c>
    </row>
    <row r="103" spans="1:8" x14ac:dyDescent="0.25">
      <c r="A103" s="1" t="str">
        <f>Kustannustehokas_ja_organisoitu!I39</f>
        <v>Ei kuulu</v>
      </c>
      <c r="B103" s="1" t="str">
        <f>Kustannustehokas_ja_organisoitu!P39</f>
        <v/>
      </c>
      <c r="C103" s="163" t="str">
        <f t="shared" si="2"/>
        <v>Ei</v>
      </c>
      <c r="D103" s="1" t="str">
        <f>KorjattavaaTaulukko[[#This Row],[Huoltovarmuuskriteeri]]</f>
        <v>Ei</v>
      </c>
      <c r="E103" s="1" t="str">
        <f>KorjattavaaTaulukko[[#This Row],[Pääkategoria]]</f>
        <v>Kustannustehokas ja organisoitu</v>
      </c>
      <c r="F103" s="1" t="str">
        <f>KorjattavaaTaulukko[[#This Row],[Alakategoria]]</f>
        <v>8. Käyttötalouden hallinta ja hankinnat ovat suunniteltuja, tehostettuja ja läpinäkyviä.</v>
      </c>
      <c r="G103" s="1" t="str">
        <f>KorjattavaaTaulukko[[#This Row],[Arviointikriteeri]]</f>
        <v xml:space="preserve">8.2 Vesihuoltolaitoksen kustannuksia seurataan ja käyttötaloutta tehostetaan aktiivisesti. </v>
      </c>
      <c r="H103" s="1" t="str">
        <f>KorjattavaaTaulukko[[#This Row],[Vastaus ]]</f>
        <v/>
      </c>
    </row>
    <row r="104" spans="1:8" x14ac:dyDescent="0.25">
      <c r="A104" s="1" t="str">
        <f>Kustannustehokas_ja_organisoitu!I40</f>
        <v>Ei kuulu</v>
      </c>
      <c r="B104" s="1" t="str">
        <f>Kustannustehokas_ja_organisoitu!P40</f>
        <v/>
      </c>
      <c r="C104" s="163" t="str">
        <f t="shared" si="2"/>
        <v>Ei</v>
      </c>
      <c r="D104" s="1" t="str">
        <f>KorjattavaaTaulukko[[#This Row],[Huoltovarmuuskriteeri]]</f>
        <v>Ei</v>
      </c>
      <c r="E104" s="1" t="str">
        <f>KorjattavaaTaulukko[[#This Row],[Pääkategoria]]</f>
        <v>Kustannustehokas ja organisoitu</v>
      </c>
      <c r="F104" s="1" t="str">
        <f>KorjattavaaTaulukko[[#This Row],[Alakategoria]]</f>
        <v>8. Käyttötalouden hallinta ja hankinnat ovat suunniteltuja, tehostettuja ja läpinäkyviä.</v>
      </c>
      <c r="G104" s="1" t="str">
        <f>KorjattavaaTaulukko[[#This Row],[Arviointikriteeri]]</f>
        <v xml:space="preserve">8.3 Vesihuoltolaitoksella tai kunnalla on vesihuoltolaitosta koskevat hankintaohjeet. Hankinnoissa otetaan tarkoituksenmukaisesti huomioon laatu- ja hintakriteerit. </v>
      </c>
      <c r="H104" s="1" t="str">
        <f>KorjattavaaTaulukko[[#This Row],[Vastaus ]]</f>
        <v/>
      </c>
    </row>
    <row r="105" spans="1:8" x14ac:dyDescent="0.25">
      <c r="A105" s="1" t="str">
        <f>Kustannustehokas_ja_organisoitu!I41</f>
        <v>Ei kuulu</v>
      </c>
      <c r="B105" s="1" t="str">
        <f>Kustannustehokas_ja_organisoitu!P41</f>
        <v/>
      </c>
      <c r="C105" s="163" t="str">
        <f t="shared" si="2"/>
        <v>Ei</v>
      </c>
      <c r="D105" s="1" t="str">
        <f>KorjattavaaTaulukko[[#This Row],[Huoltovarmuuskriteeri]]</f>
        <v>Ei</v>
      </c>
      <c r="E105" s="1" t="str">
        <f>KorjattavaaTaulukko[[#This Row],[Pääkategoria]]</f>
        <v>Kustannustehokas ja organisoitu</v>
      </c>
      <c r="F105" s="1" t="str">
        <f>KorjattavaaTaulukko[[#This Row],[Alakategoria]]</f>
        <v>8. Käyttötalouden hallinta ja hankinnat ovat suunniteltuja, tehostettuja ja läpinäkyviä.</v>
      </c>
      <c r="G105" s="1" t="str">
        <f>KorjattavaaTaulukko[[#This Row],[Arviointikriteeri]]</f>
        <v>8.4 Vesihuoltolaitoksen henkilöstö on saanut koulutusta hankintojen ja palvelujen kilpailutukseen ja sopimuksiin sekä palvelujen ja toimitusten valvontaan.</v>
      </c>
      <c r="H105" s="1" t="str">
        <f>KorjattavaaTaulukko[[#This Row],[Vastaus ]]</f>
        <v/>
      </c>
    </row>
    <row r="106" spans="1:8" x14ac:dyDescent="0.25">
      <c r="A106" s="1" t="str">
        <f>Kustannustehokas_ja_organisoitu!I42</f>
        <v>Ei kuulu</v>
      </c>
      <c r="B106" s="1" t="str">
        <f>Kustannustehokas_ja_organisoitu!P42</f>
        <v/>
      </c>
      <c r="C106" s="163" t="str">
        <f t="shared" si="2"/>
        <v>Ei</v>
      </c>
      <c r="D106" s="1" t="str">
        <f>KorjattavaaTaulukko[[#This Row],[Huoltovarmuuskriteeri]]</f>
        <v>Ei</v>
      </c>
      <c r="E106" s="1" t="str">
        <f>KorjattavaaTaulukko[[#This Row],[Pääkategoria]]</f>
        <v>Kustannustehokas ja organisoitu</v>
      </c>
      <c r="F106" s="1" t="str">
        <f>KorjattavaaTaulukko[[#This Row],[Alakategoria]]</f>
        <v>8. Käyttötalouden hallinta ja hankinnat ovat suunniteltuja, tehostettuja ja läpinäkyviä.</v>
      </c>
      <c r="G106" s="1" t="str">
        <f>KorjattavaaTaulukko[[#This Row],[Arviointikriteeri]]</f>
        <v xml:space="preserve">8.5 Vesihuoltolaitoksella on puitesopimukset keskeisten tavaroiden ja palveluiden hankinnan osalta. </v>
      </c>
      <c r="H106" s="1" t="str">
        <f>KorjattavaaTaulukko[[#This Row],[Vastaus ]]</f>
        <v/>
      </c>
    </row>
    <row r="107" spans="1:8" x14ac:dyDescent="0.25">
      <c r="A107" s="1" t="str">
        <f>Kustannustehokas_ja_organisoitu!I43</f>
        <v>Ei kuulu</v>
      </c>
      <c r="B107" s="1" t="str">
        <f>Kustannustehokas_ja_organisoitu!P43</f>
        <v/>
      </c>
      <c r="C107" s="163" t="str">
        <f t="shared" si="2"/>
        <v>Ei</v>
      </c>
      <c r="D107" s="1" t="str">
        <f>KorjattavaaTaulukko[[#This Row],[Huoltovarmuuskriteeri]]</f>
        <v>Ei</v>
      </c>
      <c r="E107" s="1" t="str">
        <f>KorjattavaaTaulukko[[#This Row],[Pääkategoria]]</f>
        <v>Kustannustehokas ja organisoitu</v>
      </c>
      <c r="F107" s="1" t="str">
        <f>KorjattavaaTaulukko[[#This Row],[Alakategoria]]</f>
        <v>8. Käyttötalouden hallinta ja hankinnat ovat suunniteltuja, tehostettuja ja läpinäkyviä.</v>
      </c>
      <c r="G107" s="1" t="str">
        <f>KorjattavaaTaulukko[[#This Row],[Arviointikriteeri]]</f>
        <v>8.6 Vesihuoltolaitos kerää ja käyttää tunnuslukutietoa systemaattisesti ja vertailee toimintaansa kokoluokan ja lähialueen muihin vastaaviin toimijoihin.</v>
      </c>
      <c r="H107" s="1" t="str">
        <f>KorjattavaaTaulukko[[#This Row],[Vastaus ]]</f>
        <v/>
      </c>
    </row>
    <row r="108" spans="1:8" x14ac:dyDescent="0.25">
      <c r="A108" s="1" t="str">
        <f>Kustannustehokas_ja_organisoitu!I44</f>
        <v>Ei kuulu</v>
      </c>
      <c r="B108" s="1" t="str">
        <f>Kustannustehokas_ja_organisoitu!P44</f>
        <v/>
      </c>
      <c r="C108" s="163" t="str">
        <f t="shared" si="2"/>
        <v>Ei</v>
      </c>
      <c r="D108" s="1" t="str">
        <f>KorjattavaaTaulukko[[#This Row],[Huoltovarmuuskriteeri]]</f>
        <v>Ei</v>
      </c>
      <c r="E108" s="1" t="str">
        <f>KorjattavaaTaulukko[[#This Row],[Pääkategoria]]</f>
        <v>Kustannustehokas ja organisoitu</v>
      </c>
      <c r="F108" s="1" t="str">
        <f>KorjattavaaTaulukko[[#This Row],[Alakategoria]]</f>
        <v>8. Käyttötalouden hallinta ja hankinnat ovat suunniteltuja, tehostettuja ja läpinäkyviä.</v>
      </c>
      <c r="G108" s="1" t="str">
        <f>KorjattavaaTaulukko[[#This Row],[Arviointikriteeri]]</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8" s="1" t="str">
        <f>KorjattavaaTaulukko[[#This Row],[Vastaus ]]</f>
        <v/>
      </c>
    </row>
    <row r="109" spans="1:8" x14ac:dyDescent="0.25">
      <c r="A109" s="1" t="str">
        <f>Kustannustehokas_ja_organisoitu!I45</f>
        <v>Ei kuulu</v>
      </c>
      <c r="B109" s="1" t="str">
        <f>Kustannustehokas_ja_organisoitu!P45</f>
        <v/>
      </c>
      <c r="C109" s="163" t="str">
        <f t="shared" si="2"/>
        <v>Ei</v>
      </c>
      <c r="D109" s="1" t="str">
        <f>KorjattavaaTaulukko[[#This Row],[Huoltovarmuuskriteeri]]</f>
        <v>Ei</v>
      </c>
      <c r="E109" s="1" t="str">
        <f>KorjattavaaTaulukko[[#This Row],[Pääkategoria]]</f>
        <v>Kustannustehokas ja organisoitu</v>
      </c>
      <c r="F109" s="1" t="str">
        <f>KorjattavaaTaulukko[[#This Row],[Alakategoria]]</f>
        <v>8. Käyttötalouden hallinta ja hankinnat ovat suunniteltuja, tehostettuja ja läpinäkyviä.</v>
      </c>
      <c r="G109" s="1" t="str">
        <f>KorjattavaaTaulukko[[#This Row],[Arviointikriteeri]]</f>
        <v>8.8 Vesihuoltolaitoksen hankintakriteereihin sisältyvät sosiaalinen ja ympäristövastuullisuus</v>
      </c>
      <c r="H109" s="1" t="str">
        <f>KorjattavaaTaulukko[[#This Row],[Vastaus ]]</f>
        <v/>
      </c>
    </row>
    <row r="110" spans="1:8" x14ac:dyDescent="0.25">
      <c r="A110" s="1" t="str">
        <f>Kustannustehokas_ja_organisoitu!I46</f>
        <v>Ei kuulu</v>
      </c>
      <c r="B110" s="1" t="str">
        <f>Kustannustehokas_ja_organisoitu!P46</f>
        <v/>
      </c>
      <c r="C110" s="163" t="str">
        <f t="shared" si="2"/>
        <v>Ei</v>
      </c>
      <c r="D110" s="1" t="str">
        <f>KorjattavaaTaulukko[[#This Row],[Huoltovarmuuskriteeri]]</f>
        <v>Ei</v>
      </c>
      <c r="E110" s="1" t="str">
        <f>KorjattavaaTaulukko[[#This Row],[Pääkategoria]]</f>
        <v>Kestävä ja kehittyvä</v>
      </c>
      <c r="F110" s="1" t="str">
        <f>KorjattavaaTaulukko[[#This Row],[Alakategoria]]</f>
        <v>_Otsikkorivi</v>
      </c>
      <c r="G110" s="1" t="str">
        <f>KorjattavaaTaulukko[[#This Row],[Arviointikriteeri]]</f>
        <v>9. Jätevesien käsittelyn ja johtamisen ympäristökuormitus minimoidaan</v>
      </c>
      <c r="H110" s="1" t="str">
        <f>KorjattavaaTaulukko[[#This Row],[Vastaus ]]</f>
        <v/>
      </c>
    </row>
    <row r="111" spans="1:8" x14ac:dyDescent="0.25">
      <c r="A111" s="1" t="str">
        <f>Kestävä_ja_kehittyvä!I5</f>
        <v>Ei kuulu</v>
      </c>
      <c r="B111" s="1" t="str">
        <f>Kestävä_ja_kehittyvä!P5</f>
        <v/>
      </c>
      <c r="C111" s="163" t="str">
        <f t="shared" si="2"/>
        <v>Ei</v>
      </c>
      <c r="D111" s="1" t="str">
        <f>KorjattavaaTaulukko[[#This Row],[Huoltovarmuuskriteeri]]</f>
        <v>Kyllä</v>
      </c>
      <c r="E111" s="1" t="str">
        <f>KorjattavaaTaulukko[[#This Row],[Pääkategoria]]</f>
        <v>Kestävä ja kehittyvä</v>
      </c>
      <c r="F111" s="1" t="str">
        <f>KorjattavaaTaulukko[[#This Row],[Alakategoria]]</f>
        <v>9. Jätevesien käsittelyn ja johtamisen ympäristökuormitus minimoidaan</v>
      </c>
      <c r="G111" s="1" t="str">
        <f>KorjattavaaTaulukko[[#This Row],[Arviointikriteeri]]</f>
        <v>9.1 Jätevesiverkoston vuotovesiprosentti &lt; 30 %</v>
      </c>
      <c r="H111" s="1" t="str">
        <f>KorjattavaaTaulukko[[#This Row],[Vastaus ]]</f>
        <v/>
      </c>
    </row>
    <row r="112" spans="1:8" x14ac:dyDescent="0.25">
      <c r="A112" s="1" t="str">
        <f>Kestävä_ja_kehittyvä!I6</f>
        <v>Ei kuulu</v>
      </c>
      <c r="B112" s="1" t="str">
        <f>Kestävä_ja_kehittyvä!P6</f>
        <v/>
      </c>
      <c r="C112" s="163" t="str">
        <f t="shared" si="2"/>
        <v>Ei</v>
      </c>
      <c r="D112" s="1" t="str">
        <f>KorjattavaaTaulukko[[#This Row],[Huoltovarmuuskriteeri]]</f>
        <v>Kyllä</v>
      </c>
      <c r="E112" s="1" t="str">
        <f>KorjattavaaTaulukko[[#This Row],[Pääkategoria]]</f>
        <v>Kestävä ja kehittyvä</v>
      </c>
      <c r="F112" s="1" t="str">
        <f>KorjattavaaTaulukko[[#This Row],[Alakategoria]]</f>
        <v>9. Jätevesien käsittelyn ja johtamisen ympäristökuormitus minimoidaan</v>
      </c>
      <c r="G112" s="1" t="str">
        <f>KorjattavaaTaulukko[[#This Row],[Arviointikriteeri]]</f>
        <v>9.2 Viemäritukosten määrä &lt; 5 kpl/100 km/v</v>
      </c>
      <c r="H112" s="1" t="str">
        <f>KorjattavaaTaulukko[[#This Row],[Vastaus ]]</f>
        <v/>
      </c>
    </row>
    <row r="113" spans="1:8" x14ac:dyDescent="0.25">
      <c r="A113" s="1" t="str">
        <f>Kestävä_ja_kehittyvä!I7</f>
        <v>Ei kuulu</v>
      </c>
      <c r="B113" s="1" t="str">
        <f>Kestävä_ja_kehittyvä!P7</f>
        <v/>
      </c>
      <c r="C113" s="163" t="str">
        <f t="shared" si="2"/>
        <v>Ei</v>
      </c>
      <c r="D113" s="1" t="str">
        <f>KorjattavaaTaulukko[[#This Row],[Huoltovarmuuskriteeri]]</f>
        <v>Kyllä</v>
      </c>
      <c r="E113" s="1" t="str">
        <f>KorjattavaaTaulukko[[#This Row],[Pääkategoria]]</f>
        <v>Kestävä ja kehittyvä</v>
      </c>
      <c r="F113" s="1" t="str">
        <f>KorjattavaaTaulukko[[#This Row],[Alakategoria]]</f>
        <v>9. Jätevesien käsittelyn ja johtamisen ympäristökuormitus minimoidaan</v>
      </c>
      <c r="G113" s="1" t="str">
        <f>KorjattavaaTaulukko[[#This Row],[Arviointikriteeri]]</f>
        <v>9.3 Laitosohitusten määrä jätevedestä &lt; 0,5 %</v>
      </c>
      <c r="H113" s="1" t="str">
        <f>KorjattavaaTaulukko[[#This Row],[Vastaus ]]</f>
        <v/>
      </c>
    </row>
    <row r="114" spans="1:8" x14ac:dyDescent="0.25">
      <c r="A114" s="1" t="str">
        <f>Kestävä_ja_kehittyvä!I8</f>
        <v>Ei kuulu</v>
      </c>
      <c r="B114" s="1" t="str">
        <f>Kestävä_ja_kehittyvä!P8</f>
        <v/>
      </c>
      <c r="C114" s="163" t="str">
        <f t="shared" si="2"/>
        <v>Ei</v>
      </c>
      <c r="D114" s="1" t="str">
        <f>KorjattavaaTaulukko[[#This Row],[Huoltovarmuuskriteeri]]</f>
        <v>Ei</v>
      </c>
      <c r="E114" s="1" t="str">
        <f>KorjattavaaTaulukko[[#This Row],[Pääkategoria]]</f>
        <v>Kestävä ja kehittyvä</v>
      </c>
      <c r="F114" s="1" t="str">
        <f>KorjattavaaTaulukko[[#This Row],[Alakategoria]]</f>
        <v>9. Jätevesien käsittelyn ja johtamisen ympäristökuormitus minimoidaan</v>
      </c>
      <c r="G114" s="1" t="str">
        <f>KorjattavaaTaulukko[[#This Row],[Arviointikriteeri]]</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14" s="1" t="str">
        <f>KorjattavaaTaulukko[[#This Row],[Vastaus ]]</f>
        <v/>
      </c>
    </row>
    <row r="115" spans="1:8" x14ac:dyDescent="0.25">
      <c r="A115" s="1" t="str">
        <f>Kestävä_ja_kehittyvä!I9</f>
        <v>Ei kuulu</v>
      </c>
      <c r="B115" s="1" t="str">
        <f>Kestävä_ja_kehittyvä!P9</f>
        <v/>
      </c>
      <c r="C115" s="163" t="str">
        <f t="shared" si="2"/>
        <v>Ei</v>
      </c>
      <c r="D115" s="1" t="str">
        <f>KorjattavaaTaulukko[[#This Row],[Huoltovarmuuskriteeri]]</f>
        <v>Kyllä</v>
      </c>
      <c r="E115" s="1" t="str">
        <f>KorjattavaaTaulukko[[#This Row],[Pääkategoria]]</f>
        <v>Kestävä ja kehittyvä</v>
      </c>
      <c r="F115" s="1" t="str">
        <f>KorjattavaaTaulukko[[#This Row],[Alakategoria]]</f>
        <v>9. Jätevesien käsittelyn ja johtamisen ympäristökuormitus minimoidaan</v>
      </c>
      <c r="G115" s="1" t="str">
        <f>KorjattavaaTaulukko[[#This Row],[Arviointikriteeri]]</f>
        <v xml:space="preserve">9.5 Vesihuoltolaitoksen sekaviemäröinnin vähentämisestä on tehty suunnitelma ja sitä vähennetään vuosittain </v>
      </c>
      <c r="H115" s="1" t="str">
        <f>KorjattavaaTaulukko[[#This Row],[Vastaus ]]</f>
        <v/>
      </c>
    </row>
    <row r="116" spans="1:8" x14ac:dyDescent="0.25">
      <c r="A116" s="1" t="str">
        <f>Kestävä_ja_kehittyvä!I10</f>
        <v>Ei kuulu</v>
      </c>
      <c r="B116" s="1" t="str">
        <f>Kestävä_ja_kehittyvä!P10</f>
        <v/>
      </c>
      <c r="C116" s="163" t="str">
        <f t="shared" si="2"/>
        <v>Ei</v>
      </c>
      <c r="D116" s="1" t="str">
        <f>KorjattavaaTaulukko[[#This Row],[Huoltovarmuuskriteeri]]</f>
        <v>Ei</v>
      </c>
      <c r="E116" s="1" t="str">
        <f>KorjattavaaTaulukko[[#This Row],[Pääkategoria]]</f>
        <v>Kestävä ja kehittyvä</v>
      </c>
      <c r="F116" s="1" t="str">
        <f>KorjattavaaTaulukko[[#This Row],[Alakategoria]]</f>
        <v>9. Jätevesien käsittelyn ja johtamisen ympäristökuormitus minimoidaan</v>
      </c>
      <c r="G116" s="1" t="str">
        <f>KorjattavaaTaulukko[[#This Row],[Arviointikriteeri]]</f>
        <v xml:space="preserve">9.6 Vesihuoltolaitoksen viemäriverkoston vuotoja mitataan ja seurataan ja vuotavuusprosentti on määritelty soveltuvin osin pumppaamo- ja verkostoalueittain.  </v>
      </c>
      <c r="H116" s="1" t="str">
        <f>KorjattavaaTaulukko[[#This Row],[Vastaus ]]</f>
        <v/>
      </c>
    </row>
    <row r="117" spans="1:8" x14ac:dyDescent="0.25">
      <c r="A117" s="1" t="str">
        <f>Kestävä_ja_kehittyvä!I11</f>
        <v>Ei kuulu</v>
      </c>
      <c r="B117" s="1" t="str">
        <f>Kestävä_ja_kehittyvä!P11</f>
        <v/>
      </c>
      <c r="C117" s="163" t="str">
        <f t="shared" si="2"/>
        <v>Ei</v>
      </c>
      <c r="D117" s="1" t="str">
        <f>KorjattavaaTaulukko[[#This Row],[Huoltovarmuuskriteeri]]</f>
        <v>Ei</v>
      </c>
      <c r="E117" s="1" t="str">
        <f>KorjattavaaTaulukko[[#This Row],[Pääkategoria]]</f>
        <v>Kestävä ja kehittyvä</v>
      </c>
      <c r="F117" s="1" t="str">
        <f>KorjattavaaTaulukko[[#This Row],[Alakategoria]]</f>
        <v>9. Jätevesien käsittelyn ja johtamisen ympäristökuormitus minimoidaan</v>
      </c>
      <c r="G117" s="1" t="str">
        <f>KorjattavaaTaulukko[[#This Row],[Arviointikriteeri]]</f>
        <v>9.7 Vesihuoltolaitos on laatinut vuotovesien hallintasuunnitelman ja vuosittaisen investointisuunnitelman vuotovesien vähentämiseksi ja sitä toteutetaan.</v>
      </c>
      <c r="H117" s="1" t="str">
        <f>KorjattavaaTaulukko[[#This Row],[Vastaus ]]</f>
        <v/>
      </c>
    </row>
    <row r="118" spans="1:8" x14ac:dyDescent="0.25">
      <c r="A118" s="1" t="str">
        <f>Kestävä_ja_kehittyvä!I12</f>
        <v>Ei kuulu</v>
      </c>
      <c r="B118" s="1" t="str">
        <f>Kestävä_ja_kehittyvä!P12</f>
        <v/>
      </c>
      <c r="C118" s="163" t="str">
        <f t="shared" si="2"/>
        <v>Ei</v>
      </c>
      <c r="D118" s="1" t="str">
        <f>KorjattavaaTaulukko[[#This Row],[Huoltovarmuuskriteeri]]</f>
        <v>Ei</v>
      </c>
      <c r="E118" s="1" t="str">
        <f>KorjattavaaTaulukko[[#This Row],[Pääkategoria]]</f>
        <v>Kestävä ja kehittyvä</v>
      </c>
      <c r="F118" s="1" t="str">
        <f>KorjattavaaTaulukko[[#This Row],[Alakategoria]]</f>
        <v>9. Jätevesien käsittelyn ja johtamisen ympäristökuormitus minimoidaan</v>
      </c>
      <c r="G118" s="1" t="str">
        <f>KorjattavaaTaulukko[[#This Row],[Arviointikriteeri]]</f>
        <v>9.8 Vesihuoltolaitos on liittynyt vesiensuojelusopimukseen (Green Deal), tavoitteena vapaaehtoisesti vähentää kuormitusta alle lupaehtojen.</v>
      </c>
      <c r="H118" s="1" t="str">
        <f>KorjattavaaTaulukko[[#This Row],[Vastaus ]]</f>
        <v/>
      </c>
    </row>
    <row r="119" spans="1:8" x14ac:dyDescent="0.25">
      <c r="A119" s="1" t="str">
        <f>Kestävä_ja_kehittyvä!I13</f>
        <v>Ei kuulu</v>
      </c>
      <c r="B119" s="1" t="str">
        <f>Kestävä_ja_kehittyvä!P13</f>
        <v/>
      </c>
      <c r="C119" s="163" t="str">
        <f t="shared" si="2"/>
        <v>Ei</v>
      </c>
      <c r="D119" s="1" t="str">
        <f>KorjattavaaTaulukko[[#This Row],[Huoltovarmuuskriteeri]]</f>
        <v>Ei</v>
      </c>
      <c r="E119" s="1" t="str">
        <f>KorjattavaaTaulukko[[#This Row],[Pääkategoria]]</f>
        <v>Kestävä ja kehittyvä</v>
      </c>
      <c r="F119" s="1" t="str">
        <f>KorjattavaaTaulukko[[#This Row],[Alakategoria]]</f>
        <v>_Otsikkorivi</v>
      </c>
      <c r="G119" s="1" t="str">
        <f>KorjattavaaTaulukko[[#This Row],[Arviointikriteeri]]</f>
        <v>10. Kestävä ja energiatehokas</v>
      </c>
      <c r="H119" s="1" t="str">
        <f>KorjattavaaTaulukko[[#This Row],[Vastaus ]]</f>
        <v/>
      </c>
    </row>
    <row r="120" spans="1:8" x14ac:dyDescent="0.25">
      <c r="A120" s="1" t="str">
        <f>Kestävä_ja_kehittyvä!I14</f>
        <v>Ei kuulu</v>
      </c>
      <c r="B120" s="1" t="str">
        <f>Kestävä_ja_kehittyvä!P14</f>
        <v/>
      </c>
      <c r="C120" s="163" t="str">
        <f t="shared" si="2"/>
        <v>Ei</v>
      </c>
      <c r="D120" s="1" t="str">
        <f>KorjattavaaTaulukko[[#This Row],[Huoltovarmuuskriteeri]]</f>
        <v>Ei</v>
      </c>
      <c r="E120" s="1" t="str">
        <f>KorjattavaaTaulukko[[#This Row],[Pääkategoria]]</f>
        <v>Kestävä ja kehittyvä</v>
      </c>
      <c r="F120" s="1" t="str">
        <f>KorjattavaaTaulukko[[#This Row],[Alakategoria]]</f>
        <v>10. Kestävä ja energiatehokas</v>
      </c>
      <c r="G120" s="1" t="str">
        <f>KorjattavaaTaulukko[[#This Row],[Arviointikriteeri]]</f>
        <v xml:space="preserve">10.1 Vesihuoltolaitoksen energiankulutusta seurataan ja siihen kiinnitetään huomiota </v>
      </c>
      <c r="H120" s="1" t="str">
        <f>KorjattavaaTaulukko[[#This Row],[Vastaus ]]</f>
        <v/>
      </c>
    </row>
    <row r="121" spans="1:8" x14ac:dyDescent="0.25">
      <c r="A121" s="1" t="str">
        <f>Kestävä_ja_kehittyvä!I15</f>
        <v>Ei kuulu</v>
      </c>
      <c r="B121" s="1" t="str">
        <f>Kestävä_ja_kehittyvä!P15</f>
        <v/>
      </c>
      <c r="C121" s="163" t="str">
        <f t="shared" si="2"/>
        <v>Ei</v>
      </c>
      <c r="D121" s="1" t="str">
        <f>KorjattavaaTaulukko[[#This Row],[Huoltovarmuuskriteeri]]</f>
        <v>Ei</v>
      </c>
      <c r="E121" s="1" t="str">
        <f>KorjattavaaTaulukko[[#This Row],[Pääkategoria]]</f>
        <v>Kestävä ja kehittyvä</v>
      </c>
      <c r="F121" s="1" t="str">
        <f>KorjattavaaTaulukko[[#This Row],[Alakategoria]]</f>
        <v>10. Kestävä ja energiatehokas</v>
      </c>
      <c r="G121" s="1" t="str">
        <f>KorjattavaaTaulukko[[#This Row],[Arviointikriteeri]]</f>
        <v>10.1 Vesihuoltolaitoksen energiankulutusta mitataan ja seura-taan vesihuoltolaitoksella osa-alueittain (esim. pumppaukset tai muut merkittävimmät energiankulutuskohteet).</v>
      </c>
      <c r="H121" s="1" t="str">
        <f>KorjattavaaTaulukko[[#This Row],[Vastaus ]]</f>
        <v/>
      </c>
    </row>
    <row r="122" spans="1:8" x14ac:dyDescent="0.25">
      <c r="A122" s="1" t="str">
        <f>Kestävä_ja_kehittyvä!I16</f>
        <v>Ei kuulu</v>
      </c>
      <c r="B122" s="1" t="str">
        <f>Kestävä_ja_kehittyvä!P16</f>
        <v/>
      </c>
      <c r="C122" s="163" t="str">
        <f t="shared" si="2"/>
        <v>Ei</v>
      </c>
      <c r="D122" s="1" t="str">
        <f>KorjattavaaTaulukko[[#This Row],[Huoltovarmuuskriteeri]]</f>
        <v>Ei</v>
      </c>
      <c r="E122" s="1" t="str">
        <f>KorjattavaaTaulukko[[#This Row],[Pääkategoria]]</f>
        <v>Kestävä ja kehittyvä</v>
      </c>
      <c r="F122" s="1" t="str">
        <f>KorjattavaaTaulukko[[#This Row],[Alakategoria]]</f>
        <v>10. Kestävä ja energiatehokas</v>
      </c>
      <c r="G122" s="1" t="str">
        <f>KorjattavaaTaulukko[[#This Row],[Arviointikriteeri]]</f>
        <v>10.2 Vesihuoltolaitos tekee systemaattista riskinarviointia ja riskienhallintaa työturvallisuuden osalta sisältäen mm. kemiallisten ja biologisten vaarojen arvioinnin.</v>
      </c>
      <c r="H122" s="1" t="str">
        <f>KorjattavaaTaulukko[[#This Row],[Vastaus ]]</f>
        <v/>
      </c>
    </row>
    <row r="123" spans="1:8" x14ac:dyDescent="0.25">
      <c r="A123" s="1" t="str">
        <f>Kestävä_ja_kehittyvä!I17</f>
        <v>Ei kuulu</v>
      </c>
      <c r="B123" s="1" t="str">
        <f>Kestävä_ja_kehittyvä!P17</f>
        <v/>
      </c>
      <c r="C123" s="163" t="str">
        <f t="shared" si="2"/>
        <v>Ei</v>
      </c>
      <c r="D123" s="1" t="str">
        <f>KorjattavaaTaulukko[[#This Row],[Huoltovarmuuskriteeri]]</f>
        <v>Ei</v>
      </c>
      <c r="E123" s="1" t="str">
        <f>KorjattavaaTaulukko[[#This Row],[Pääkategoria]]</f>
        <v>Kestävä ja kehittyvä</v>
      </c>
      <c r="F123" s="1" t="str">
        <f>KorjattavaaTaulukko[[#This Row],[Alakategoria]]</f>
        <v>10. Kestävä ja energiatehokas</v>
      </c>
      <c r="G123" s="1" t="str">
        <f>KorjattavaaTaulukko[[#This Row],[Arviointikriteeri]]</f>
        <v xml:space="preserve">10.3 Vesihuoltolaitoksen toiminta-alueen asukkaille on kohdistettu neuvontaa luvattomien viemäriliitosten poistamiseksi (esimerkiksi huleveden ja/tai perustusten kuivatusveden johtaminen jätevesiviemäriin ilman lupaa). </v>
      </c>
      <c r="H123" s="1" t="str">
        <f>KorjattavaaTaulukko[[#This Row],[Vastaus ]]</f>
        <v/>
      </c>
    </row>
    <row r="124" spans="1:8" x14ac:dyDescent="0.25">
      <c r="A124" s="1" t="str">
        <f>Kestävä_ja_kehittyvä!I18</f>
        <v>Ei kuulu</v>
      </c>
      <c r="B124" s="1" t="str">
        <f>Kestävä_ja_kehittyvä!P18</f>
        <v/>
      </c>
      <c r="C124" s="163" t="str">
        <f t="shared" si="2"/>
        <v>Ei</v>
      </c>
      <c r="D124" s="1" t="str">
        <f>KorjattavaaTaulukko[[#This Row],[Huoltovarmuuskriteeri]]</f>
        <v>Ei</v>
      </c>
      <c r="E124" s="1" t="str">
        <f>KorjattavaaTaulukko[[#This Row],[Pääkategoria]]</f>
        <v>Kestävä ja kehittyvä</v>
      </c>
      <c r="F124" s="1" t="str">
        <f>KorjattavaaTaulukko[[#This Row],[Alakategoria]]</f>
        <v>10. Kestävä ja energiatehokas</v>
      </c>
      <c r="G124" s="1" t="str">
        <f>KorjattavaaTaulukko[[#This Row],[Arviointikriteeri]]</f>
        <v>10.4 Taloudelliset ohjauskeinot luvattomien viemäriliitosten poistamiseksi ovat aidosti käytössä eli korotettuja maksuja peritään tarvittaessa.</v>
      </c>
      <c r="H124" s="1" t="str">
        <f>KorjattavaaTaulukko[[#This Row],[Vastaus ]]</f>
        <v/>
      </c>
    </row>
    <row r="125" spans="1:8" x14ac:dyDescent="0.25">
      <c r="A125" s="1" t="str">
        <f>Kestävä_ja_kehittyvä!I19</f>
        <v>Ei kuulu</v>
      </c>
      <c r="B125" s="1" t="str">
        <f>Kestävä_ja_kehittyvä!P19</f>
        <v/>
      </c>
      <c r="C125" s="163" t="str">
        <f t="shared" si="2"/>
        <v>Ei</v>
      </c>
      <c r="D125" s="1" t="str">
        <f>KorjattavaaTaulukko[[#This Row],[Huoltovarmuuskriteeri]]</f>
        <v>Ei</v>
      </c>
      <c r="E125" s="1" t="str">
        <f>KorjattavaaTaulukko[[#This Row],[Pääkategoria]]</f>
        <v>Kestävä ja kehittyvä</v>
      </c>
      <c r="F125" s="1" t="str">
        <f>KorjattavaaTaulukko[[#This Row],[Alakategoria]]</f>
        <v>10. Kestävä ja energiatehokas</v>
      </c>
      <c r="G125" s="1" t="str">
        <f>KorjattavaaTaulukko[[#This Row],[Arviointikriteeri]]</f>
        <v>10.5 Vesihuoltolaitos laatii ja julkaisee ympäristötilinpäätöksen vuosittain.</v>
      </c>
      <c r="H125" s="1" t="str">
        <f>KorjattavaaTaulukko[[#This Row],[Vastaus ]]</f>
        <v/>
      </c>
    </row>
    <row r="126" spans="1:8" x14ac:dyDescent="0.25">
      <c r="A126" s="1" t="str">
        <f>Kestävä_ja_kehittyvä!I20</f>
        <v>Ei kuulu</v>
      </c>
      <c r="B126" s="1" t="str">
        <f>Kestävä_ja_kehittyvä!P20</f>
        <v/>
      </c>
      <c r="C126" s="163" t="str">
        <f t="shared" si="2"/>
        <v>Ei</v>
      </c>
      <c r="D126" s="1" t="str">
        <f>KorjattavaaTaulukko[[#This Row],[Huoltovarmuuskriteeri]]</f>
        <v>Ei</v>
      </c>
      <c r="E126" s="1" t="str">
        <f>KorjattavaaTaulukko[[#This Row],[Pääkategoria]]</f>
        <v>Kestävä ja kehittyvä</v>
      </c>
      <c r="F126" s="1" t="str">
        <f>KorjattavaaTaulukko[[#This Row],[Alakategoria]]</f>
        <v>10. Kestävä ja energiatehokas</v>
      </c>
      <c r="G126" s="1" t="str">
        <f>KorjattavaaTaulukko[[#This Row],[Arviointikriteeri]]</f>
        <v>10.6 Vesihuoltolaitoksen hiilijalanjälki on laskettu ja tuloksia käytetään toiminnan ohjauksessa.</v>
      </c>
      <c r="H126" s="1" t="str">
        <f>KorjattavaaTaulukko[[#This Row],[Vastaus ]]</f>
        <v/>
      </c>
    </row>
    <row r="127" spans="1:8" x14ac:dyDescent="0.25">
      <c r="A127" s="1" t="str">
        <f>Kestävä_ja_kehittyvä!I21</f>
        <v>Ei kuulu</v>
      </c>
      <c r="B127" s="1" t="str">
        <f>Kestävä_ja_kehittyvä!P21</f>
        <v/>
      </c>
      <c r="C127" s="163" t="str">
        <f t="shared" si="2"/>
        <v>Ei</v>
      </c>
      <c r="D127" s="1" t="str">
        <f>KorjattavaaTaulukko[[#This Row],[Huoltovarmuuskriteeri]]</f>
        <v>Ei</v>
      </c>
      <c r="E127" s="1" t="str">
        <f>KorjattavaaTaulukko[[#This Row],[Pääkategoria]]</f>
        <v>Kestävä ja kehittyvä</v>
      </c>
      <c r="F127" s="1" t="str">
        <f>KorjattavaaTaulukko[[#This Row],[Alakategoria]]</f>
        <v>10. Kestävä ja energiatehokas</v>
      </c>
      <c r="G127" s="1" t="str">
        <f>KorjattavaaTaulukko[[#This Row],[Arviointikriteeri]]</f>
        <v>10.7 Vesihuoltolaitoksen energiankulutus on analysoitu, toimenpideohjelma energiatehokkuuden parantamiseksi laadittu ja sitä toteutetaan.</v>
      </c>
      <c r="H127" s="1" t="str">
        <f>KorjattavaaTaulukko[[#This Row],[Vastaus ]]</f>
        <v/>
      </c>
    </row>
    <row r="128" spans="1:8" x14ac:dyDescent="0.25">
      <c r="A128" s="1" t="str">
        <f>Kestävä_ja_kehittyvä!I22</f>
        <v>Ei kuulu</v>
      </c>
      <c r="B128" s="1" t="str">
        <f>Kestävä_ja_kehittyvä!P22</f>
        <v/>
      </c>
      <c r="C128" s="163" t="str">
        <f t="shared" si="2"/>
        <v>Ei</v>
      </c>
      <c r="D128" s="1" t="str">
        <f>KorjattavaaTaulukko[[#This Row],[Huoltovarmuuskriteeri]]</f>
        <v>Ei</v>
      </c>
      <c r="E128" s="1" t="str">
        <f>KorjattavaaTaulukko[[#This Row],[Pääkategoria]]</f>
        <v>Kestävä ja kehittyvä</v>
      </c>
      <c r="F128" s="1" t="str">
        <f>KorjattavaaTaulukko[[#This Row],[Alakategoria]]</f>
        <v>10. Kestävä ja energiatehokas</v>
      </c>
      <c r="G128" s="1" t="str">
        <f>KorjattavaaTaulukko[[#This Row],[Arviointikriteeri]]</f>
        <v xml:space="preserve">10.8 Jätevedenpuhdistamolla hyödynnetään hukkalämpöä. </v>
      </c>
      <c r="H128" s="1" t="str">
        <f>KorjattavaaTaulukko[[#This Row],[Vastaus ]]</f>
        <v/>
      </c>
    </row>
    <row r="129" spans="1:8" x14ac:dyDescent="0.25">
      <c r="A129" s="1" t="str">
        <f>Kestävä_ja_kehittyvä!I23</f>
        <v>Ei kuulu</v>
      </c>
      <c r="B129" s="1" t="str">
        <f>Kestävä_ja_kehittyvä!P23</f>
        <v/>
      </c>
      <c r="C129" s="163" t="str">
        <f t="shared" si="2"/>
        <v>Ei</v>
      </c>
      <c r="D129" s="1" t="str">
        <f>KorjattavaaTaulukko[[#This Row],[Huoltovarmuuskriteeri]]</f>
        <v>Ei</v>
      </c>
      <c r="E129" s="1" t="str">
        <f>KorjattavaaTaulukko[[#This Row],[Pääkategoria]]</f>
        <v>Kestävä ja kehittyvä</v>
      </c>
      <c r="F129" s="1" t="str">
        <f>KorjattavaaTaulukko[[#This Row],[Alakategoria]]</f>
        <v>10. Kestävä ja energiatehokas</v>
      </c>
      <c r="G129" s="1" t="str">
        <f>KorjattavaaTaulukko[[#This Row],[Arviointikriteeri]]</f>
        <v>10.9 Vesilaitoksen toiminnassa on järjestelmällisesti otettu huomioon ympäristö-, talous- ja sosiaalinen vastuu.</v>
      </c>
      <c r="H129" s="1" t="str">
        <f>KorjattavaaTaulukko[[#This Row],[Vastaus ]]</f>
        <v/>
      </c>
    </row>
    <row r="130" spans="1:8" x14ac:dyDescent="0.25">
      <c r="A130" s="1" t="str">
        <f>Kestävä_ja_kehittyvä!I24</f>
        <v>Ei kuulu</v>
      </c>
      <c r="B130" s="1" t="str">
        <f>Kestävä_ja_kehittyvä!P24</f>
        <v/>
      </c>
      <c r="C130" s="163" t="str">
        <f t="shared" si="2"/>
        <v>Ei</v>
      </c>
      <c r="D130" s="1" t="str">
        <f>KorjattavaaTaulukko[[#This Row],[Huoltovarmuuskriteeri]]</f>
        <v>Ei</v>
      </c>
      <c r="E130" s="1" t="str">
        <f>KorjattavaaTaulukko[[#This Row],[Pääkategoria]]</f>
        <v>Kestävä ja kehittyvä</v>
      </c>
      <c r="F130" s="1" t="str">
        <f>KorjattavaaTaulukko[[#This Row],[Alakategoria]]</f>
        <v>10. Kestävä ja energiatehokas</v>
      </c>
      <c r="G130" s="1" t="str">
        <f>KorjattavaaTaulukko[[#This Row],[Arviointikriteeri]]</f>
        <v>10.10 Vesihuoltolaitoksen energiantuottopotentiaali on kartoitettu ja laitoksella on tavoitearvo energiaomavaraisuudelle.</v>
      </c>
      <c r="H130" s="1" t="str">
        <f>KorjattavaaTaulukko[[#This Row],[Vastaus ]]</f>
        <v/>
      </c>
    </row>
    <row r="131" spans="1:8" x14ac:dyDescent="0.25">
      <c r="A131" s="1" t="str">
        <f>Kestävä_ja_kehittyvä!I25</f>
        <v>Ei kuulu</v>
      </c>
      <c r="B131" s="1" t="str">
        <f>Kestävä_ja_kehittyvä!P25</f>
        <v/>
      </c>
      <c r="C131" s="163" t="str">
        <f t="shared" si="2"/>
        <v>Ei</v>
      </c>
      <c r="D131" s="1" t="str">
        <f>KorjattavaaTaulukko[[#This Row],[Huoltovarmuuskriteeri]]</f>
        <v>Ei</v>
      </c>
      <c r="E131" s="1" t="str">
        <f>KorjattavaaTaulukko[[#This Row],[Pääkategoria]]</f>
        <v>Kestävä ja kehittyvä</v>
      </c>
      <c r="F131" s="1" t="str">
        <f>KorjattavaaTaulukko[[#This Row],[Alakategoria]]</f>
        <v>10. Kestävä ja energiatehokas</v>
      </c>
      <c r="G131" s="1" t="str">
        <f>KorjattavaaTaulukko[[#This Row],[Arviointikriteeri]]</f>
        <v xml:space="preserve">10.12 Hiilineutraalisuudelle on asetettu tavoite ja toimenpidesuunnitelma sen saavuttamiseksi </v>
      </c>
      <c r="H131" s="1" t="str">
        <f>KorjattavaaTaulukko[[#This Row],[Vastaus ]]</f>
        <v/>
      </c>
    </row>
    <row r="132" spans="1:8" x14ac:dyDescent="0.25">
      <c r="A132" s="1" t="str">
        <f>Kestävä_ja_kehittyvä!I26</f>
        <v>Ei kuulu</v>
      </c>
      <c r="B132" s="1" t="str">
        <f>Kestävä_ja_kehittyvä!P26</f>
        <v/>
      </c>
      <c r="C132" s="163" t="str">
        <f t="shared" si="2"/>
        <v>Ei</v>
      </c>
      <c r="D132" s="1" t="str">
        <f>KorjattavaaTaulukko[[#This Row],[Huoltovarmuuskriteeri]]</f>
        <v>Ei</v>
      </c>
      <c r="E132" s="1" t="str">
        <f>KorjattavaaTaulukko[[#This Row],[Pääkategoria]]</f>
        <v>Kestävä ja kehittyvä</v>
      </c>
      <c r="F132" s="1" t="str">
        <f>KorjattavaaTaulukko[[#This Row],[Alakategoria]]</f>
        <v>_Otsikkorivi</v>
      </c>
      <c r="G132" s="1" t="str">
        <f>KorjattavaaTaulukko[[#This Row],[Arviointikriteeri]]</f>
        <v>11. Asiakaspalvelu ja viestintä on suunniteltua ja läpinäkyvää</v>
      </c>
      <c r="H132" s="1" t="str">
        <f>KorjattavaaTaulukko[[#This Row],[Vastaus ]]</f>
        <v/>
      </c>
    </row>
    <row r="133" spans="1:8" x14ac:dyDescent="0.25">
      <c r="A133" s="1" t="str">
        <f>Kestävä_ja_kehittyvä!I27</f>
        <v>Ei kuulu</v>
      </c>
      <c r="B133" s="1" t="str">
        <f>Kestävä_ja_kehittyvä!P27</f>
        <v/>
      </c>
      <c r="C133" s="163" t="str">
        <f t="shared" si="2"/>
        <v>Ei</v>
      </c>
      <c r="D133" s="1" t="str">
        <f>KorjattavaaTaulukko[[#This Row],[Huoltovarmuuskriteeri]]</f>
        <v>Ei</v>
      </c>
      <c r="E133" s="1" t="str">
        <f>KorjattavaaTaulukko[[#This Row],[Pääkategoria]]</f>
        <v>Kestävä ja kehittyvä</v>
      </c>
      <c r="F133" s="1" t="str">
        <f>KorjattavaaTaulukko[[#This Row],[Alakategoria]]</f>
        <v>11. Asiakaspalvelu ja viestintä on suunniteltua ja läpinäkyvää</v>
      </c>
      <c r="G133" s="1" t="str">
        <f>KorjattavaaTaulukko[[#This Row],[Arviointikriteeri]]</f>
        <v>11.1 Säännöllinen asiakasviestintä esim. www-sivuilla, laskun/mittarilukemakortin yhteydessä tai asiakaslehdellä</v>
      </c>
      <c r="H133" s="1" t="str">
        <f>KorjattavaaTaulukko[[#This Row],[Vastaus ]]</f>
        <v/>
      </c>
    </row>
    <row r="134" spans="1:8" x14ac:dyDescent="0.25">
      <c r="A134" s="1" t="str">
        <f>Kestävä_ja_kehittyvä!I28</f>
        <v>Ei kuulu</v>
      </c>
      <c r="B134" s="1" t="str">
        <f>Kestävä_ja_kehittyvä!P28</f>
        <v/>
      </c>
      <c r="C134" s="163" t="str">
        <f t="shared" si="2"/>
        <v>Ei</v>
      </c>
      <c r="D134" s="1" t="str">
        <f>KorjattavaaTaulukko[[#This Row],[Huoltovarmuuskriteeri]]</f>
        <v>Ei</v>
      </c>
      <c r="E134" s="1" t="str">
        <f>KorjattavaaTaulukko[[#This Row],[Pääkategoria]]</f>
        <v>Kestävä ja kehittyvä</v>
      </c>
      <c r="F134" s="1" t="str">
        <f>KorjattavaaTaulukko[[#This Row],[Alakategoria]]</f>
        <v>11. Asiakaspalvelu ja viestintä on suunniteltua ja läpinäkyvää</v>
      </c>
      <c r="G134" s="1" t="str">
        <f>KorjattavaaTaulukko[[#This Row],[Arviointikriteeri]]</f>
        <v>11.2 Toimintakertomus ja tilinpäätös julkaistaan vuosittain</v>
      </c>
      <c r="H134" s="1" t="str">
        <f>KorjattavaaTaulukko[[#This Row],[Vastaus ]]</f>
        <v/>
      </c>
    </row>
    <row r="135" spans="1:8" x14ac:dyDescent="0.25">
      <c r="A135" s="1" t="str">
        <f>Kestävä_ja_kehittyvä!I29</f>
        <v>Ei kuulu</v>
      </c>
      <c r="B135" s="1" t="str">
        <f>Kestävä_ja_kehittyvä!P29</f>
        <v/>
      </c>
      <c r="C135" s="163" t="str">
        <f t="shared" si="2"/>
        <v>Ei</v>
      </c>
      <c r="D135" s="1" t="str">
        <f>KorjattavaaTaulukko[[#This Row],[Huoltovarmuuskriteeri]]</f>
        <v>Ei</v>
      </c>
      <c r="E135" s="1" t="str">
        <f>KorjattavaaTaulukko[[#This Row],[Pääkategoria]]</f>
        <v>Kestävä ja kehittyvä</v>
      </c>
      <c r="F135" s="1" t="str">
        <f>KorjattavaaTaulukko[[#This Row],[Alakategoria]]</f>
        <v>11. Asiakaspalvelu ja viestintä on suunniteltua ja läpinäkyvää</v>
      </c>
      <c r="G135" s="1" t="str">
        <f>KorjattavaaTaulukko[[#This Row],[Arviointikriteeri]]</f>
        <v>11.3 Asiakaspalaute kirjataan ylös</v>
      </c>
      <c r="H135" s="1" t="str">
        <f>KorjattavaaTaulukko[[#This Row],[Vastaus ]]</f>
        <v/>
      </c>
    </row>
    <row r="136" spans="1:8" x14ac:dyDescent="0.25">
      <c r="A136" s="1" t="str">
        <f>Kestävä_ja_kehittyvä!I30</f>
        <v>Ei kuulu</v>
      </c>
      <c r="B136" s="1" t="str">
        <f>Kestävä_ja_kehittyvä!P30</f>
        <v/>
      </c>
      <c r="C136" s="163" t="str">
        <f t="shared" ref="C136:C148" si="3">IF(AND(A136="Kuuluu",H136="Ei",B136&lt;&gt;"Extra"),"Kyllä","Ei")</f>
        <v>Ei</v>
      </c>
      <c r="D136" s="1" t="str">
        <f>KorjattavaaTaulukko[[#This Row],[Huoltovarmuuskriteeri]]</f>
        <v>Ei</v>
      </c>
      <c r="E136" s="1" t="str">
        <f>KorjattavaaTaulukko[[#This Row],[Pääkategoria]]</f>
        <v>Kestävä ja kehittyvä</v>
      </c>
      <c r="F136" s="1" t="str">
        <f>KorjattavaaTaulukko[[#This Row],[Alakategoria]]</f>
        <v>11. Asiakaspalvelu ja viestintä on suunniteltua ja läpinäkyvää</v>
      </c>
      <c r="G136" s="1" t="str">
        <f>KorjattavaaTaulukko[[#This Row],[Arviointikriteeri]]</f>
        <v>11.4 Asiakastietojärjestelmä mahdollistaa sähköiset asiakaspalvelut</v>
      </c>
      <c r="H136" s="1" t="str">
        <f>KorjattavaaTaulukko[[#This Row],[Vastaus ]]</f>
        <v/>
      </c>
    </row>
    <row r="137" spans="1:8" x14ac:dyDescent="0.25">
      <c r="A137" s="1" t="str">
        <f>Kestävä_ja_kehittyvä!I31</f>
        <v>Ei kuulu</v>
      </c>
      <c r="B137" s="1" t="str">
        <f>Kestävä_ja_kehittyvä!P31</f>
        <v/>
      </c>
      <c r="C137" s="163" t="str">
        <f t="shared" si="3"/>
        <v>Ei</v>
      </c>
      <c r="D137" s="1" t="str">
        <f>KorjattavaaTaulukko[[#This Row],[Huoltovarmuuskriteeri]]</f>
        <v>Ei</v>
      </c>
      <c r="E137" s="1" t="str">
        <f>KorjattavaaTaulukko[[#This Row],[Pääkategoria]]</f>
        <v>Kestävä ja kehittyvä</v>
      </c>
      <c r="F137" s="1" t="str">
        <f>KorjattavaaTaulukko[[#This Row],[Alakategoria]]</f>
        <v>11. Asiakaspalvelu ja viestintä on suunniteltua ja läpinäkyvää</v>
      </c>
      <c r="G137" s="1" t="str">
        <f>KorjattavaaTaulukko[[#This Row],[Arviointikriteeri]]</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7" s="1" t="str">
        <f>KorjattavaaTaulukko[[#This Row],[Vastaus ]]</f>
        <v/>
      </c>
    </row>
    <row r="138" spans="1:8" x14ac:dyDescent="0.25">
      <c r="A138" s="1" t="str">
        <f>Kestävä_ja_kehittyvä!I32</f>
        <v>Ei kuulu</v>
      </c>
      <c r="B138" s="1" t="str">
        <f>Kestävä_ja_kehittyvä!P32</f>
        <v/>
      </c>
      <c r="C138" s="163" t="str">
        <f t="shared" si="3"/>
        <v>Ei</v>
      </c>
      <c r="D138" s="1" t="str">
        <f>KorjattavaaTaulukko[[#This Row],[Huoltovarmuuskriteeri]]</f>
        <v>Ei</v>
      </c>
      <c r="E138" s="1" t="str">
        <f>KorjattavaaTaulukko[[#This Row],[Pääkategoria]]</f>
        <v>Kestävä ja kehittyvä</v>
      </c>
      <c r="F138" s="1" t="str">
        <f>KorjattavaaTaulukko[[#This Row],[Alakategoria]]</f>
        <v>11. Asiakaspalvelu ja viestintä on suunniteltua ja läpinäkyvää</v>
      </c>
      <c r="G138" s="1" t="str">
        <f>KorjattavaaTaulukko[[#This Row],[Arviointikriteeri]]</f>
        <v>11.6 Laitos tekee asiakastyytyväisyyskyselyn 2-4 vuoden välein.</v>
      </c>
      <c r="H138" s="1" t="str">
        <f>KorjattavaaTaulukko[[#This Row],[Vastaus ]]</f>
        <v/>
      </c>
    </row>
    <row r="139" spans="1:8" x14ac:dyDescent="0.25">
      <c r="A139" s="1" t="str">
        <f>Kestävä_ja_kehittyvä!I33</f>
        <v>Ei kuulu</v>
      </c>
      <c r="B139" s="1" t="str">
        <f>Kestävä_ja_kehittyvä!P33</f>
        <v/>
      </c>
      <c r="C139" s="163" t="str">
        <f t="shared" si="3"/>
        <v>Ei</v>
      </c>
      <c r="D139" s="1" t="str">
        <f>KorjattavaaTaulukko[[#This Row],[Huoltovarmuuskriteeri]]</f>
        <v>Ei</v>
      </c>
      <c r="E139" s="1" t="str">
        <f>KorjattavaaTaulukko[[#This Row],[Pääkategoria]]</f>
        <v>Kestävä ja kehittyvä</v>
      </c>
      <c r="F139" s="1" t="str">
        <f>KorjattavaaTaulukko[[#This Row],[Alakategoria]]</f>
        <v>11. Asiakaspalvelu ja viestintä on suunniteltua ja läpinäkyvää</v>
      </c>
      <c r="G139" s="1" t="str">
        <f>KorjattavaaTaulukko[[#This Row],[Arviointikriteeri]]</f>
        <v>11.6 Laitos tekee asiakastyytyväisyyskyselyn 1-2 vuoden välein</v>
      </c>
      <c r="H139" s="1" t="str">
        <f>KorjattavaaTaulukko[[#This Row],[Vastaus ]]</f>
        <v/>
      </c>
    </row>
    <row r="140" spans="1:8" x14ac:dyDescent="0.25">
      <c r="A140" s="1" t="str">
        <f>Kestävä_ja_kehittyvä!I34</f>
        <v>Ei kuulu</v>
      </c>
      <c r="B140" s="1" t="str">
        <f>Kestävä_ja_kehittyvä!P34</f>
        <v/>
      </c>
      <c r="C140" s="163" t="str">
        <f t="shared" si="3"/>
        <v>Ei</v>
      </c>
      <c r="D140" s="1" t="str">
        <f>KorjattavaaTaulukko[[#This Row],[Huoltovarmuuskriteeri]]</f>
        <v>Ei</v>
      </c>
      <c r="E140" s="1" t="str">
        <f>KorjattavaaTaulukko[[#This Row],[Pääkategoria]]</f>
        <v>Kestävä ja kehittyvä</v>
      </c>
      <c r="F140" s="1" t="str">
        <f>KorjattavaaTaulukko[[#This Row],[Alakategoria]]</f>
        <v>11. Asiakaspalvelu ja viestintä on suunniteltua ja läpinäkyvää</v>
      </c>
      <c r="G140" s="1" t="str">
        <f>KorjattavaaTaulukko[[#This Row],[Arviointikriteeri]]</f>
        <v>11.6 Laitos tekee asiakastyytyväisyyskyselyn vuosittain.</v>
      </c>
      <c r="H140" s="1" t="str">
        <f>KorjattavaaTaulukko[[#This Row],[Vastaus ]]</f>
        <v/>
      </c>
    </row>
    <row r="141" spans="1:8" x14ac:dyDescent="0.25">
      <c r="A141" s="1" t="str">
        <f>Kestävä_ja_kehittyvä!I35</f>
        <v>Ei kuulu</v>
      </c>
      <c r="B141" s="1" t="str">
        <f>Kestävä_ja_kehittyvä!P35</f>
        <v/>
      </c>
      <c r="C141" s="163" t="str">
        <f t="shared" si="3"/>
        <v>Ei</v>
      </c>
      <c r="D141" s="1" t="str">
        <f>KorjattavaaTaulukko[[#This Row],[Huoltovarmuuskriteeri]]</f>
        <v>Ei</v>
      </c>
      <c r="E141" s="1" t="str">
        <f>KorjattavaaTaulukko[[#This Row],[Pääkategoria]]</f>
        <v>Kestävä ja kehittyvä</v>
      </c>
      <c r="F141" s="1" t="str">
        <f>KorjattavaaTaulukko[[#This Row],[Alakategoria]]</f>
        <v>11. Asiakaspalvelu ja viestintä on suunniteltua ja läpinäkyvää</v>
      </c>
      <c r="G141" s="1" t="str">
        <f>KorjattavaaTaulukko[[#This Row],[Arviointikriteeri]]</f>
        <v>11.7 Asiakasvalituksiin vastaamiseen on asetettu tavoiteaika.</v>
      </c>
      <c r="H141" s="1" t="str">
        <f>KorjattavaaTaulukko[[#This Row],[Vastaus ]]</f>
        <v/>
      </c>
    </row>
    <row r="142" spans="1:8" x14ac:dyDescent="0.25">
      <c r="A142" s="1" t="str">
        <f>Kestävä_ja_kehittyvä!I36</f>
        <v>Ei kuulu</v>
      </c>
      <c r="B142" s="1" t="str">
        <f>Kestävä_ja_kehittyvä!P36</f>
        <v/>
      </c>
      <c r="C142" s="163" t="str">
        <f t="shared" si="3"/>
        <v>Ei</v>
      </c>
      <c r="D142" s="1" t="str">
        <f>KorjattavaaTaulukko[[#This Row],[Huoltovarmuuskriteeri]]</f>
        <v>Ei</v>
      </c>
      <c r="E142" s="1" t="str">
        <f>KorjattavaaTaulukko[[#This Row],[Pääkategoria]]</f>
        <v>Kestävä ja kehittyvä</v>
      </c>
      <c r="F142" s="1" t="str">
        <f>KorjattavaaTaulukko[[#This Row],[Alakategoria]]</f>
        <v>11. Asiakaspalvelu ja viestintä on suunniteltua ja läpinäkyvää</v>
      </c>
      <c r="G142" s="1" t="str">
        <f>KorjattavaaTaulukko[[#This Row],[Arviointikriteeri]]</f>
        <v>11.8 Käytössä liittyjäkohtainen kuluttajaviestintä (esim. tekstiviesti-ilmoitus)</v>
      </c>
      <c r="H142" s="1" t="str">
        <f>KorjattavaaTaulukko[[#This Row],[Vastaus ]]</f>
        <v/>
      </c>
    </row>
    <row r="143" spans="1:8" x14ac:dyDescent="0.25">
      <c r="A143" s="1" t="str">
        <f>Kestävä_ja_kehittyvä!I37</f>
        <v>Ei kuulu</v>
      </c>
      <c r="B143" s="1" t="str">
        <f>Kestävä_ja_kehittyvä!P37</f>
        <v/>
      </c>
      <c r="C143" s="163" t="str">
        <f t="shared" si="3"/>
        <v>Ei</v>
      </c>
      <c r="D143" s="1" t="str">
        <f>KorjattavaaTaulukko[[#This Row],[Huoltovarmuuskriteeri]]</f>
        <v>Ei</v>
      </c>
      <c r="E143" s="1" t="str">
        <f>KorjattavaaTaulukko[[#This Row],[Pääkategoria]]</f>
        <v>Kestävä ja kehittyvä</v>
      </c>
      <c r="F143" s="1" t="str">
        <f>KorjattavaaTaulukko[[#This Row],[Alakategoria]]</f>
        <v>11. Asiakaspalvelu ja viestintä on suunniteltua ja läpinäkyvää</v>
      </c>
      <c r="G143" s="1" t="str">
        <f>KorjattavaaTaulukko[[#This Row],[Arviointikriteeri]]</f>
        <v>11.9 Sijaintitiedon kannalta oleelliset asiakasvalitukset hallinnoidaan paikkatietona. (esim. johtotietojärjestelmä, kunnossapitojärjestelmä)</v>
      </c>
      <c r="H143" s="1" t="str">
        <f>KorjattavaaTaulukko[[#This Row],[Vastaus ]]</f>
        <v/>
      </c>
    </row>
    <row r="144" spans="1:8" x14ac:dyDescent="0.25">
      <c r="A144" s="1" t="str">
        <f>Kestävä_ja_kehittyvä!I38</f>
        <v>Ei kuulu</v>
      </c>
      <c r="B144" s="1" t="str">
        <f>Kestävä_ja_kehittyvä!P38</f>
        <v/>
      </c>
      <c r="C144" s="163" t="str">
        <f t="shared" si="3"/>
        <v>Ei</v>
      </c>
      <c r="D144" s="1" t="str">
        <f>KorjattavaaTaulukko[[#This Row],[Huoltovarmuuskriteeri]]</f>
        <v>Ei</v>
      </c>
      <c r="E144" s="1" t="str">
        <f>KorjattavaaTaulukko[[#This Row],[Pääkategoria]]</f>
        <v>Kestävä ja kehittyvä</v>
      </c>
      <c r="F144" s="1" t="str">
        <f>KorjattavaaTaulukko[[#This Row],[Alakategoria]]</f>
        <v>11. Asiakaspalvelu ja viestintä on suunniteltua ja läpinäkyvää</v>
      </c>
      <c r="G144" s="1" t="str">
        <f>KorjattavaaTaulukko[[#This Row],[Arviointikriteeri]]</f>
        <v>11.10 Asiakastyytyväisyyden tulos tasolla vähintään hyvä.</v>
      </c>
      <c r="H144" s="1" t="str">
        <f>KorjattavaaTaulukko[[#This Row],[Vastaus ]]</f>
        <v/>
      </c>
    </row>
    <row r="145" spans="1:8" x14ac:dyDescent="0.25">
      <c r="A145" s="1" t="str">
        <f>Kestävä_ja_kehittyvä!I39</f>
        <v>Ei kuulu</v>
      </c>
      <c r="B145" s="1" t="str">
        <f>Kestävä_ja_kehittyvä!P39</f>
        <v/>
      </c>
      <c r="C145" s="163" t="str">
        <f t="shared" si="3"/>
        <v>Ei</v>
      </c>
      <c r="D145" s="1" t="str">
        <f>KorjattavaaTaulukko[[#This Row],[Huoltovarmuuskriteeri]]</f>
        <v>Ei</v>
      </c>
      <c r="E145" s="1" t="str">
        <f>KorjattavaaTaulukko[[#This Row],[Pääkategoria]]</f>
        <v>Kestävä ja kehittyvä</v>
      </c>
      <c r="F145" s="1" t="str">
        <f>KorjattavaaTaulukko[[#This Row],[Alakategoria]]</f>
        <v>11. Asiakaspalvelu ja viestintä on suunniteltua ja läpinäkyvää</v>
      </c>
      <c r="G145" s="1" t="str">
        <f>KorjattavaaTaulukko[[#This Row],[Arviointikriteeri]]</f>
        <v>11.11 Asiakaspalvelua kehitetään asiakastyytyväisyyskyselyjen lisäksi yhteistyössä asiakkaiden kanssa. (esim. säännöllinen asiakasfoorumi, isännöitsijätapaamiset)</v>
      </c>
      <c r="H145" s="1" t="str">
        <f>KorjattavaaTaulukko[[#This Row],[Vastaus ]]</f>
        <v/>
      </c>
    </row>
    <row r="146" spans="1:8" x14ac:dyDescent="0.25">
      <c r="A146" s="1" t="str">
        <f>Kestävä_ja_kehittyvä!I40</f>
        <v>Ei kuulu</v>
      </c>
      <c r="B146" s="1" t="str">
        <f>Kestävä_ja_kehittyvä!P40</f>
        <v/>
      </c>
      <c r="C146" s="163" t="str">
        <f t="shared" si="3"/>
        <v>Ei</v>
      </c>
      <c r="D146" s="1" t="str">
        <f>KorjattavaaTaulukko[[#This Row],[Huoltovarmuuskriteeri]]</f>
        <v>Ei</v>
      </c>
      <c r="E146" s="1" t="str">
        <f>KorjattavaaTaulukko[[#This Row],[Pääkategoria]]</f>
        <v>Kestävä ja kehittyvä</v>
      </c>
      <c r="F146" s="1" t="str">
        <f>KorjattavaaTaulukko[[#This Row],[Alakategoria]]</f>
        <v>11. Asiakaspalvelu ja viestintä on suunniteltua ja läpinäkyvää</v>
      </c>
      <c r="G146" s="1" t="str">
        <f>KorjattavaaTaulukko[[#This Row],[Arviointikriteeri]]</f>
        <v>11.12 Asiakaspalvelulle on määritelty palvelutaso normaalitoiminnassa ja häiriötilanteissa.</v>
      </c>
      <c r="H146" s="1" t="str">
        <f>KorjattavaaTaulukko[[#This Row],[Vastaus ]]</f>
        <v/>
      </c>
    </row>
    <row r="147" spans="1:8" x14ac:dyDescent="0.25">
      <c r="A147" s="1" t="str">
        <f>Kestävä_ja_kehittyvä!I41</f>
        <v>Ei kuulu</v>
      </c>
      <c r="B147" s="1" t="str">
        <f>Kestävä_ja_kehittyvä!P41</f>
        <v/>
      </c>
      <c r="C147" s="163" t="str">
        <f t="shared" si="3"/>
        <v>Ei</v>
      </c>
      <c r="D147" s="1" t="str">
        <f>KorjattavaaTaulukko[[#This Row],[Huoltovarmuuskriteeri]]</f>
        <v>Ei</v>
      </c>
      <c r="E147" s="1" t="str">
        <f>KorjattavaaTaulukko[[#This Row],[Pääkategoria]]</f>
        <v>Kestävä ja kehittyvä</v>
      </c>
      <c r="F147" s="1" t="str">
        <f>KorjattavaaTaulukko[[#This Row],[Alakategoria]]</f>
        <v>11. Asiakaspalvelu ja viestintä on suunniteltua ja läpinäkyvää</v>
      </c>
      <c r="G147" s="1" t="str">
        <f>KorjattavaaTaulukko[[#This Row],[Arviointikriteeri]]</f>
        <v>11.13 Asiakastyytyväisyyden jatkuva seuranta aina asiakaskohtaamisen yhteydessä</v>
      </c>
      <c r="H147" s="1" t="str">
        <f>KorjattavaaTaulukko[[#This Row],[Vastaus ]]</f>
        <v/>
      </c>
    </row>
    <row r="148" spans="1:8" x14ac:dyDescent="0.25">
      <c r="A148" s="1" t="str">
        <f>Kestävä_ja_kehittyvä!I42</f>
        <v>Ei kuulu</v>
      </c>
      <c r="B148" s="1" t="str">
        <f>Kestävä_ja_kehittyvä!P42</f>
        <v/>
      </c>
      <c r="C148" s="163" t="str">
        <f t="shared" si="3"/>
        <v>Ei</v>
      </c>
      <c r="D148" s="1" t="str">
        <f>KorjattavaaTaulukko[[#This Row],[Huoltovarmuuskriteeri]]</f>
        <v>Ei</v>
      </c>
      <c r="E148" s="1" t="str">
        <f>KorjattavaaTaulukko[[#This Row],[Pääkategoria]]</f>
        <v>Kestävä ja kehittyvä</v>
      </c>
      <c r="F148" s="1" t="str">
        <f>KorjattavaaTaulukko[[#This Row],[Alakategoria]]</f>
        <v>11. Asiakaspalvelu ja viestintä on suunniteltua ja läpinäkyvää</v>
      </c>
      <c r="G148" s="1" t="str">
        <f>KorjattavaaTaulukko[[#This Row],[Arviointikriteeri]]</f>
        <v>11.14 Asiakkaille tarjotaan kohderyhmittäin räätälöityjä lisäpalveluja kulutustietojen, asioinnin yms. suhteen, esim. etäluenta, ladattava äppi tms.</v>
      </c>
      <c r="H148" s="1" t="str">
        <f>KorjattavaaTaulukko[[#This Row],[Vastaus ]]</f>
        <v/>
      </c>
    </row>
  </sheetData>
  <sheetProtection sort="0" autoFilter="0"/>
  <mergeCells count="1">
    <mergeCell ref="A5:C5"/>
  </mergeCells>
  <dataValidations count="1">
    <dataValidation allowBlank="1" showInputMessage="1" showErrorMessage="1" promptTitle="Huoltovarmuuskriteeri" prompt="Tämä sarake näyttää, onko kyse huoltovarmuuskriteeristä." sqref="D6" xr:uid="{E1F6E93D-22F4-424F-8743-013C25B7A1BE}"/>
  </dataValidations>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7BCE-AB8C-4076-B727-B24A475FCF56}">
  <sheetPr>
    <tabColor rgb="FFFF0000"/>
  </sheetPr>
  <dimension ref="A1:Y143"/>
  <sheetViews>
    <sheetView showGridLines="0" workbookViewId="0">
      <selection activeCell="O1" sqref="O1"/>
    </sheetView>
  </sheetViews>
  <sheetFormatPr defaultRowHeight="15" x14ac:dyDescent="0.25"/>
  <cols>
    <col min="1" max="1" width="10.85546875" customWidth="1"/>
    <col min="2" max="2" width="14.140625" customWidth="1"/>
    <col min="3" max="3" width="20.140625" style="74" bestFit="1" customWidth="1"/>
    <col min="4" max="4" width="17.85546875" bestFit="1" customWidth="1"/>
    <col min="5" max="5" width="13.42578125" customWidth="1"/>
    <col min="6" max="6" width="12.85546875" customWidth="1"/>
    <col min="7" max="7" width="62.42578125" customWidth="1"/>
    <col min="8" max="8" width="15.140625" customWidth="1"/>
    <col min="9" max="9" width="9.5703125" customWidth="1"/>
    <col min="10" max="10" width="20.140625" customWidth="1"/>
    <col min="11" max="11" width="17.5703125" customWidth="1"/>
    <col min="12" max="12" width="8.85546875" bestFit="1" customWidth="1"/>
    <col min="13" max="13" width="17.42578125" customWidth="1"/>
    <col min="14" max="14" width="12.5703125" customWidth="1"/>
    <col min="15" max="15" width="3.85546875" customWidth="1"/>
    <col min="25" max="25" width="4.5703125" customWidth="1"/>
  </cols>
  <sheetData>
    <row r="1" spans="1:25" x14ac:dyDescent="0.25">
      <c r="A1" t="s">
        <v>240</v>
      </c>
      <c r="B1" t="s">
        <v>237</v>
      </c>
      <c r="C1" s="74" t="s">
        <v>239</v>
      </c>
      <c r="D1" t="s">
        <v>238</v>
      </c>
      <c r="E1" t="s">
        <v>1</v>
      </c>
      <c r="F1" t="s">
        <v>229</v>
      </c>
      <c r="G1" t="s">
        <v>230</v>
      </c>
      <c r="H1" t="s">
        <v>5</v>
      </c>
      <c r="I1" t="s">
        <v>231</v>
      </c>
      <c r="J1" t="s">
        <v>234</v>
      </c>
      <c r="K1" t="s">
        <v>235</v>
      </c>
      <c r="L1" t="s">
        <v>232</v>
      </c>
      <c r="M1" t="s">
        <v>233</v>
      </c>
      <c r="N1" t="s">
        <v>236</v>
      </c>
      <c r="P1" s="137"/>
      <c r="Q1" s="137"/>
      <c r="R1" s="137"/>
      <c r="S1" s="137"/>
      <c r="T1" s="137"/>
      <c r="U1" s="137"/>
      <c r="V1" s="137"/>
      <c r="W1" s="137"/>
      <c r="X1" s="137"/>
      <c r="Y1" s="137"/>
    </row>
    <row r="2" spans="1:25" hidden="1" x14ac:dyDescent="0.25">
      <c r="A2" t="str">
        <f>Turvallinen_ja_toimintavarma!I5</f>
        <v>Ei kuulu</v>
      </c>
      <c r="B2" t="str">
        <f>Turvallinen_ja_toimintavarma!P5</f>
        <v/>
      </c>
      <c r="C2" s="74" t="str">
        <f>Turvallinen_ja_toimintavarma!A5</f>
        <v xml:space="preserve">1,2,3,4 </v>
      </c>
      <c r="D2" t="str">
        <f>Turvallinen_ja_toimintavarma!C5</f>
        <v>A,B,C,D</v>
      </c>
      <c r="E2" t="str">
        <f>IF(ISBLANK(Turvallinen_ja_toimintavarma!K5),"_Otsikkorivi",Turvallinen_ja_toimintavarma!K5)</f>
        <v>Turvallinen ja toimintavarma</v>
      </c>
      <c r="F2" t="str">
        <f>Turvallinen_ja_toimintavarma!L5</f>
        <v>_Otsikkorivi</v>
      </c>
      <c r="G2" t="str">
        <f>IF(ISBLANK(Turvallinen_ja_toimintavarma!R5),"Otsikkorivi",Turvallinen_ja_toimintavarma!R5)</f>
        <v>1. Laadukas, raakaveden laadun huomioiva, kriteerit täyttävä vedenkäsittelyprosessi</v>
      </c>
      <c r="H2" t="str">
        <f>IF(Turvallinen_ja_toimintavarma!N5="x","Kyllä","Ei")</f>
        <v>Ei</v>
      </c>
      <c r="I2" t="str">
        <f>IF(ISBLANK(Turvallinen_ja_toimintavarma!S5),"",Turvallinen_ja_toimintavarma!S5)</f>
        <v/>
      </c>
      <c r="J2">
        <f>LV!$B$10</f>
        <v>0</v>
      </c>
      <c r="K2" t="str">
        <f>LV!$I$18</f>
        <v/>
      </c>
      <c r="L2" t="str">
        <f>IF(ISBLANK(Lähtötiedot!$O$18),"",Lähtötiedot!$O$18)</f>
        <v/>
      </c>
      <c r="M2" t="str">
        <f>IF(ISBLANK(Lähtötiedot!$O$16),"",Lähtötiedot!$O$16)</f>
        <v/>
      </c>
      <c r="N2" s="73" t="str">
        <f>IF(ISBLANK(Lähtötiedot!$O$15),"",Lähtötiedot!$O$15)</f>
        <v/>
      </c>
      <c r="O2" s="73"/>
      <c r="P2" s="137"/>
      <c r="Q2" s="137"/>
      <c r="R2" s="137"/>
      <c r="S2" s="137"/>
      <c r="T2" s="137"/>
      <c r="U2" s="137"/>
      <c r="V2" s="137"/>
      <c r="W2" s="137"/>
      <c r="X2" s="137"/>
      <c r="Y2" s="137"/>
    </row>
    <row r="3" spans="1:25" x14ac:dyDescent="0.25">
      <c r="A3" t="str">
        <f>Turvallinen_ja_toimintavarma!I6</f>
        <v>Ei kuulu</v>
      </c>
      <c r="B3" t="str">
        <f>Turvallinen_ja_toimintavarma!P6</f>
        <v/>
      </c>
      <c r="C3" s="74" t="str">
        <f>Turvallinen_ja_toimintavarma!A6</f>
        <v xml:space="preserve">1,2,3,4 </v>
      </c>
      <c r="D3" t="str">
        <f>Turvallinen_ja_toimintavarma!C6</f>
        <v>A,B</v>
      </c>
      <c r="E3" t="str">
        <f>IF(ISBLANK(Turvallinen_ja_toimintavarma!K6),"_Otsikkorivi",Turvallinen_ja_toimintavarma!K6)</f>
        <v>Turvallinen ja toimintavarma</v>
      </c>
      <c r="F3" t="str">
        <f>Turvallinen_ja_toimintavarma!L6</f>
        <v>1. Laadukas, raakaveden laadun huomioiva, kriteerit täyttävä vedenkäsittelyprosessi</v>
      </c>
      <c r="G3" t="str">
        <f>IF(ISBLANK(Turvallinen_ja_toimintavarma!R6),"Otsikkorivi",Turvallinen_ja_toimintavarma!R6)</f>
        <v>1.1 Vesilaitoksella on valmius aloittaa tai järjestää klooridesinfiointi 6 h sisällä talousvesiasetuksen (1352/2015) 20 a pykälän edellyttämällä tavalla.</v>
      </c>
      <c r="H3" t="str">
        <f>IF(Turvallinen_ja_toimintavarma!N6="x","Kyllä","Ei")</f>
        <v>Kyllä</v>
      </c>
      <c r="I3" t="str">
        <f>IF(ISBLANK(Turvallinen_ja_toimintavarma!S6),"",Turvallinen_ja_toimintavarma!S6)</f>
        <v/>
      </c>
      <c r="J3">
        <f>LV!$B$10</f>
        <v>0</v>
      </c>
      <c r="K3" t="str">
        <f>LV!$I$18</f>
        <v/>
      </c>
      <c r="L3" t="str">
        <f>IF(ISBLANK(Lähtötiedot!$O$18),"",Lähtötiedot!$O$18)</f>
        <v/>
      </c>
      <c r="M3" t="str">
        <f>IF(ISBLANK(Lähtötiedot!$O$16),"",Lähtötiedot!$O$16)</f>
        <v/>
      </c>
      <c r="N3" s="73" t="str">
        <f>IF(ISBLANK(Lähtötiedot!$O$15),"",Lähtötiedot!$O$15)</f>
        <v/>
      </c>
      <c r="O3" s="73"/>
      <c r="P3" s="137"/>
      <c r="Q3" s="137"/>
      <c r="R3" s="137"/>
      <c r="S3" s="137"/>
      <c r="T3" s="137"/>
      <c r="U3" s="137"/>
      <c r="V3" s="137"/>
      <c r="W3" s="137"/>
      <c r="X3" s="137"/>
      <c r="Y3" s="137"/>
    </row>
    <row r="4" spans="1:25" x14ac:dyDescent="0.25">
      <c r="A4" t="str">
        <f>Turvallinen_ja_toimintavarma!I7</f>
        <v>Ei kuulu</v>
      </c>
      <c r="B4" t="str">
        <f>Turvallinen_ja_toimintavarma!P7</f>
        <v/>
      </c>
      <c r="C4" s="74" t="str">
        <f>Turvallinen_ja_toimintavarma!A7</f>
        <v>1,2,3,4</v>
      </c>
      <c r="D4" t="str">
        <f>Turvallinen_ja_toimintavarma!C7</f>
        <v>A,B</v>
      </c>
      <c r="E4" t="str">
        <f>IF(ISBLANK(Turvallinen_ja_toimintavarma!K7),"_Otsikkorivi",Turvallinen_ja_toimintavarma!K7)</f>
        <v>Turvallinen ja toimintavarma</v>
      </c>
      <c r="F4" t="str">
        <f>Turvallinen_ja_toimintavarma!L7</f>
        <v>1. Laadukas, raakaveden laadun huomioiva, kriteerit täyttävä vedenkäsittelyprosessi</v>
      </c>
      <c r="G4" t="str">
        <f>IF(ISBLANK(Turvallinen_ja_toimintavarma!R7),"Otsikkorivi",Turvallinen_ja_toimintavarma!R7)</f>
        <v>1.2 Klooridesinfiointia testataan säännöllisesti.</v>
      </c>
      <c r="H4" t="str">
        <f>IF(Turvallinen_ja_toimintavarma!N7="x","Kyllä","Ei")</f>
        <v>Kyllä</v>
      </c>
      <c r="I4" t="str">
        <f>IF(ISBLANK(Turvallinen_ja_toimintavarma!S7),"",Turvallinen_ja_toimintavarma!S7)</f>
        <v/>
      </c>
      <c r="J4">
        <f>LV!$B$10</f>
        <v>0</v>
      </c>
      <c r="K4" t="str">
        <f>LV!$I$18</f>
        <v/>
      </c>
      <c r="L4" t="str">
        <f>IF(ISBLANK(Lähtötiedot!$O$18),"",Lähtötiedot!$O$18)</f>
        <v/>
      </c>
      <c r="M4" t="str">
        <f>IF(ISBLANK(Lähtötiedot!$O$16),"",Lähtötiedot!$O$16)</f>
        <v/>
      </c>
      <c r="N4" s="73" t="str">
        <f>IF(ISBLANK(Lähtötiedot!$O$15),"",Lähtötiedot!$O$15)</f>
        <v/>
      </c>
      <c r="O4" s="73"/>
      <c r="P4" s="137"/>
      <c r="Q4" s="137"/>
      <c r="R4" s="137"/>
      <c r="S4" s="137"/>
      <c r="T4" s="137"/>
      <c r="U4" s="137"/>
      <c r="V4" s="137"/>
      <c r="W4" s="137"/>
      <c r="X4" s="137"/>
      <c r="Y4" s="137"/>
    </row>
    <row r="5" spans="1:25" x14ac:dyDescent="0.25">
      <c r="A5" t="str">
        <f>Turvallinen_ja_toimintavarma!I8</f>
        <v>Ei kuulu</v>
      </c>
      <c r="B5" t="str">
        <f>Turvallinen_ja_toimintavarma!P8</f>
        <v/>
      </c>
      <c r="C5" s="74" t="str">
        <f>Turvallinen_ja_toimintavarma!A8</f>
        <v>1,2,3,4</v>
      </c>
      <c r="D5" t="str">
        <f>Turvallinen_ja_toimintavarma!C8</f>
        <v>A,B</v>
      </c>
      <c r="E5" t="str">
        <f>IF(ISBLANK(Turvallinen_ja_toimintavarma!K8),"_Otsikkorivi",Turvallinen_ja_toimintavarma!K8)</f>
        <v>Turvallinen ja toimintavarma</v>
      </c>
      <c r="F5" t="str">
        <f>Turvallinen_ja_toimintavarma!L8</f>
        <v>1. Laadukas, raakaveden laadun huomioiva, kriteerit täyttävä vedenkäsittelyprosessi</v>
      </c>
      <c r="G5" t="str">
        <f>IF(ISBLANK(Turvallinen_ja_toimintavarma!R8),"Otsikkorivi",Turvallinen_ja_toimintavarma!R8)</f>
        <v>1.3 Laatuvaatimukset täyttävä vedenlaatu (100 % näytteistä)</v>
      </c>
      <c r="H5" t="str">
        <f>IF(Turvallinen_ja_toimintavarma!N8="x","Kyllä","Ei")</f>
        <v>Kyllä</v>
      </c>
      <c r="I5" t="str">
        <f>IF(ISBLANK(Turvallinen_ja_toimintavarma!S8),"",Turvallinen_ja_toimintavarma!S8)</f>
        <v/>
      </c>
      <c r="J5">
        <f>LV!$B$10</f>
        <v>0</v>
      </c>
      <c r="K5" t="str">
        <f>LV!$I$18</f>
        <v/>
      </c>
      <c r="L5" t="str">
        <f>IF(ISBLANK(Lähtötiedot!$O$18),"",Lähtötiedot!$O$18)</f>
        <v/>
      </c>
      <c r="M5" t="str">
        <f>IF(ISBLANK(Lähtötiedot!$O$16),"",Lähtötiedot!$O$16)</f>
        <v/>
      </c>
      <c r="N5" s="73" t="str">
        <f>IF(ISBLANK(Lähtötiedot!$O$15),"",Lähtötiedot!$O$15)</f>
        <v/>
      </c>
      <c r="O5" s="73"/>
      <c r="P5" s="137"/>
      <c r="Q5" s="137"/>
      <c r="R5" s="137"/>
      <c r="S5" s="137"/>
      <c r="T5" s="137"/>
      <c r="U5" s="137"/>
      <c r="V5" s="137"/>
      <c r="W5" s="137"/>
      <c r="X5" s="137"/>
      <c r="Y5" s="137"/>
    </row>
    <row r="6" spans="1:25" x14ac:dyDescent="0.25">
      <c r="A6" t="str">
        <f>Turvallinen_ja_toimintavarma!I9</f>
        <v>Ei kuulu</v>
      </c>
      <c r="B6" t="str">
        <f>Turvallinen_ja_toimintavarma!P9</f>
        <v/>
      </c>
      <c r="C6" s="74" t="str">
        <f>Turvallinen_ja_toimintavarma!A9</f>
        <v>1,2,3,4</v>
      </c>
      <c r="D6" t="str">
        <f>Turvallinen_ja_toimintavarma!C9</f>
        <v>A,B</v>
      </c>
      <c r="E6" t="str">
        <f>IF(ISBLANK(Turvallinen_ja_toimintavarma!K9),"_Otsikkorivi",Turvallinen_ja_toimintavarma!K9)</f>
        <v>Turvallinen ja toimintavarma</v>
      </c>
      <c r="F6" t="str">
        <f>Turvallinen_ja_toimintavarma!L9</f>
        <v>1. Laadukas, raakaveden laadun huomioiva, kriteerit täyttävä vedenkäsittelyprosessi</v>
      </c>
      <c r="G6" t="str">
        <f>IF(ISBLANK(Turvallinen_ja_toimintavarma!R9),"Otsikkorivi",Turvallinen_ja_toimintavarma!R9)</f>
        <v>1.4 Laatutavoitteet täyttävä vedenlaatu (100 % näytteistä)</v>
      </c>
      <c r="H6" t="str">
        <f>IF(Turvallinen_ja_toimintavarma!N9="x","Kyllä","Ei")</f>
        <v>Ei</v>
      </c>
      <c r="I6" t="str">
        <f>IF(ISBLANK(Turvallinen_ja_toimintavarma!S9),"",Turvallinen_ja_toimintavarma!S9)</f>
        <v/>
      </c>
      <c r="J6">
        <f>LV!$B$10</f>
        <v>0</v>
      </c>
      <c r="K6" t="str">
        <f>LV!$I$18</f>
        <v/>
      </c>
      <c r="L6" t="str">
        <f>IF(ISBLANK(Lähtötiedot!$O$18),"",Lähtötiedot!$O$18)</f>
        <v/>
      </c>
      <c r="M6" t="str">
        <f>IF(ISBLANK(Lähtötiedot!$O$16),"",Lähtötiedot!$O$16)</f>
        <v/>
      </c>
      <c r="N6" s="73" t="str">
        <f>IF(ISBLANK(Lähtötiedot!$O$15),"",Lähtötiedot!$O$15)</f>
        <v/>
      </c>
      <c r="O6" s="73"/>
      <c r="P6" s="137"/>
      <c r="Q6" s="137"/>
      <c r="R6" s="137"/>
      <c r="S6" s="137"/>
      <c r="T6" s="137"/>
      <c r="U6" s="137"/>
      <c r="V6" s="137"/>
      <c r="W6" s="137"/>
      <c r="X6" s="137"/>
      <c r="Y6" s="137"/>
    </row>
    <row r="7" spans="1:25" x14ac:dyDescent="0.25">
      <c r="A7" t="str">
        <f>Turvallinen_ja_toimintavarma!I10</f>
        <v>Ei kuulu</v>
      </c>
      <c r="B7" t="str">
        <f>Turvallinen_ja_toimintavarma!P10</f>
        <v/>
      </c>
      <c r="C7" s="74" t="str">
        <f>Turvallinen_ja_toimintavarma!A10</f>
        <v>1,2,3,4</v>
      </c>
      <c r="D7" t="str">
        <f>Turvallinen_ja_toimintavarma!C10</f>
        <v>B</v>
      </c>
      <c r="E7" t="str">
        <f>IF(ISBLANK(Turvallinen_ja_toimintavarma!K10),"_Otsikkorivi",Turvallinen_ja_toimintavarma!K10)</f>
        <v>Turvallinen ja toimintavarma</v>
      </c>
      <c r="F7" t="str">
        <f>Turvallinen_ja_toimintavarma!L10</f>
        <v>1. Laadukas, raakaveden laadun huomioiva, kriteerit täyttävä vedenkäsittelyprosessi</v>
      </c>
      <c r="G7" t="str">
        <f>IF(ISBLANK(Turvallinen_ja_toimintavarma!R10),"Otsikkorivi",Turvallinen_ja_toimintavarma!R10)</f>
        <v>1.5 Vesijohtoverkoston paineettomissa putkirikkokorjauksissa rikkoutunut putkilinjaosuus desinfioidaan tai varmistetaan verkoston mikrobiologinen puhtaus tutkimuksin ennen käyttöönottoa.</v>
      </c>
      <c r="H7" t="str">
        <f>IF(Turvallinen_ja_toimintavarma!N10="x","Kyllä","Ei")</f>
        <v>Ei</v>
      </c>
      <c r="I7" t="str">
        <f>IF(ISBLANK(Turvallinen_ja_toimintavarma!S10),"",Turvallinen_ja_toimintavarma!S10)</f>
        <v/>
      </c>
      <c r="J7">
        <f>LV!$B$10</f>
        <v>0</v>
      </c>
      <c r="K7" t="str">
        <f>LV!$I$18</f>
        <v/>
      </c>
      <c r="L7" t="str">
        <f>IF(ISBLANK(Lähtötiedot!$O$18),"",Lähtötiedot!$O$18)</f>
        <v/>
      </c>
      <c r="M7" t="str">
        <f>IF(ISBLANK(Lähtötiedot!$O$16),"",Lähtötiedot!$O$16)</f>
        <v/>
      </c>
      <c r="N7" s="73" t="str">
        <f>IF(ISBLANK(Lähtötiedot!$O$15),"",Lähtötiedot!$O$15)</f>
        <v/>
      </c>
      <c r="O7" s="73"/>
      <c r="P7" s="137"/>
      <c r="Q7" s="137"/>
      <c r="R7" s="137"/>
      <c r="S7" s="137"/>
      <c r="T7" s="137"/>
      <c r="U7" s="137"/>
      <c r="V7" s="137"/>
      <c r="W7" s="137"/>
      <c r="X7" s="137"/>
      <c r="Y7" s="137"/>
    </row>
    <row r="8" spans="1:25" x14ac:dyDescent="0.25">
      <c r="A8" t="str">
        <f>Turvallinen_ja_toimintavarma!I11</f>
        <v>Ei kuulu</v>
      </c>
      <c r="B8" t="str">
        <f>Turvallinen_ja_toimintavarma!P11</f>
        <v/>
      </c>
      <c r="C8" s="74" t="str">
        <f>Turvallinen_ja_toimintavarma!A11</f>
        <v>1,2,3,4</v>
      </c>
      <c r="D8" t="str">
        <f>Turvallinen_ja_toimintavarma!C11</f>
        <v>B</v>
      </c>
      <c r="E8" t="str">
        <f>IF(ISBLANK(Turvallinen_ja_toimintavarma!K11),"_Otsikkorivi",Turvallinen_ja_toimintavarma!K11)</f>
        <v>Turvallinen ja toimintavarma</v>
      </c>
      <c r="F8" t="str">
        <f>Turvallinen_ja_toimintavarma!L11</f>
        <v>1. Laadukas, raakaveden laadun huomioiva, kriteerit täyttävä vedenkäsittelyprosessi</v>
      </c>
      <c r="G8" t="str">
        <f>IF(ISBLANK(Turvallinen_ja_toimintavarma!R11),"Otsikkorivi",Turvallinen_ja_toimintavarma!R11)</f>
        <v>1.6 Vedenjakeluverkoston näytteenottopisteiden edustavuus valvontatutkimusohjelmassa on säännöllisesti varmistettu alueelliset erityispiirteet ja WSP:n tulokset huomioon ottaen.</v>
      </c>
      <c r="H8" t="str">
        <f>IF(Turvallinen_ja_toimintavarma!N11="x","Kyllä","Ei")</f>
        <v>Ei</v>
      </c>
      <c r="I8" t="str">
        <f>IF(ISBLANK(Turvallinen_ja_toimintavarma!S11),"",Turvallinen_ja_toimintavarma!S11)</f>
        <v/>
      </c>
      <c r="J8">
        <f>LV!$B$10</f>
        <v>0</v>
      </c>
      <c r="K8" t="str">
        <f>LV!$I$18</f>
        <v/>
      </c>
      <c r="L8" t="str">
        <f>IF(ISBLANK(Lähtötiedot!$O$18),"",Lähtötiedot!$O$18)</f>
        <v/>
      </c>
      <c r="M8" t="str">
        <f>IF(ISBLANK(Lähtötiedot!$O$16),"",Lähtötiedot!$O$16)</f>
        <v/>
      </c>
      <c r="N8" s="73" t="str">
        <f>IF(ISBLANK(Lähtötiedot!$O$15),"",Lähtötiedot!$O$15)</f>
        <v/>
      </c>
      <c r="O8" s="73"/>
      <c r="P8" s="137"/>
      <c r="Q8" s="137"/>
      <c r="R8" s="137"/>
      <c r="S8" s="137"/>
      <c r="T8" s="137"/>
      <c r="U8" s="137"/>
      <c r="V8" s="137"/>
      <c r="W8" s="137"/>
      <c r="X8" s="137"/>
      <c r="Y8" s="137"/>
    </row>
    <row r="9" spans="1:25" x14ac:dyDescent="0.25">
      <c r="A9" t="str">
        <f>Turvallinen_ja_toimintavarma!I12</f>
        <v>Ei kuulu</v>
      </c>
      <c r="B9" t="str">
        <f>Turvallinen_ja_toimintavarma!P12</f>
        <v/>
      </c>
      <c r="C9" s="74" t="str">
        <f>Turvallinen_ja_toimintavarma!A12</f>
        <v>2,3,4</v>
      </c>
      <c r="D9" t="str">
        <f>Turvallinen_ja_toimintavarma!C12</f>
        <v>A</v>
      </c>
      <c r="E9" t="str">
        <f>IF(ISBLANK(Turvallinen_ja_toimintavarma!K12),"_Otsikkorivi",Turvallinen_ja_toimintavarma!K12)</f>
        <v>Turvallinen ja toimintavarma</v>
      </c>
      <c r="F9" t="str">
        <f>Turvallinen_ja_toimintavarma!L12</f>
        <v>1. Laadukas, raakaveden laadun huomioiva, kriteerit täyttävä vedenkäsittelyprosessi</v>
      </c>
      <c r="G9" t="str">
        <f>IF(ISBLANK(Turvallinen_ja_toimintavarma!R12),"Otsikkorivi",Turvallinen_ja_toimintavarma!R12)</f>
        <v>1.7 Talousvesi desinfioidaan jatkuvatoimisesti ennen johtamista vedenjakeluverkostoon tai vesihuoltolaitos on tehnyt riskiarvion, jonka perusteella jatkuvatoimiselle talousveden desinfioinnille ei ole tarvetta</v>
      </c>
      <c r="H9" t="str">
        <f>IF(Turvallinen_ja_toimintavarma!N12="x","Kyllä","Ei")</f>
        <v>Ei</v>
      </c>
      <c r="I9" t="str">
        <f>IF(ISBLANK(Turvallinen_ja_toimintavarma!S12),"",Turvallinen_ja_toimintavarma!S12)</f>
        <v/>
      </c>
      <c r="J9">
        <f>LV!$B$10</f>
        <v>0</v>
      </c>
      <c r="K9" t="str">
        <f>LV!$I$18</f>
        <v/>
      </c>
      <c r="L9" t="str">
        <f>IF(ISBLANK(Lähtötiedot!$O$18),"",Lähtötiedot!$O$18)</f>
        <v/>
      </c>
      <c r="M9" t="str">
        <f>IF(ISBLANK(Lähtötiedot!$O$16),"",Lähtötiedot!$O$16)</f>
        <v/>
      </c>
      <c r="N9" s="73" t="str">
        <f>IF(ISBLANK(Lähtötiedot!$O$15),"",Lähtötiedot!$O$15)</f>
        <v/>
      </c>
      <c r="O9" s="73"/>
      <c r="P9" s="137"/>
      <c r="Q9" s="137"/>
      <c r="R9" s="137"/>
      <c r="S9" s="137"/>
      <c r="T9" s="137"/>
      <c r="U9" s="137"/>
      <c r="V9" s="137"/>
      <c r="W9" s="137"/>
      <c r="X9" s="137"/>
      <c r="Y9" s="137"/>
    </row>
    <row r="10" spans="1:25" x14ac:dyDescent="0.25">
      <c r="A10" t="str">
        <f>Turvallinen_ja_toimintavarma!I13</f>
        <v>Ei kuulu</v>
      </c>
      <c r="B10" t="str">
        <f>Turvallinen_ja_toimintavarma!P13</f>
        <v/>
      </c>
      <c r="C10" s="74">
        <f>Turvallinen_ja_toimintavarma!A13</f>
        <v>4</v>
      </c>
      <c r="D10" t="str">
        <f>Turvallinen_ja_toimintavarma!C13</f>
        <v>A</v>
      </c>
      <c r="E10" t="str">
        <f>IF(ISBLANK(Turvallinen_ja_toimintavarma!K13),"_Otsikkorivi",Turvallinen_ja_toimintavarma!K13)</f>
        <v>Turvallinen ja toimintavarma</v>
      </c>
      <c r="F10" t="str">
        <f>Turvallinen_ja_toimintavarma!L13</f>
        <v>1. Laadukas, raakaveden laadun huomioiva, kriteerit täyttävä vedenkäsittelyprosessi</v>
      </c>
      <c r="G10" t="str">
        <f>IF(ISBLANK(Turvallinen_ja_toimintavarma!R13),"Otsikkorivi",Turvallinen_ja_toimintavarma!R13)</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0" t="str">
        <f>IF(Turvallinen_ja_toimintavarma!N13="x","Kyllä","Ei")</f>
        <v>Ei</v>
      </c>
      <c r="I10" t="str">
        <f>IF(ISBLANK(Turvallinen_ja_toimintavarma!S13),"",Turvallinen_ja_toimintavarma!S13)</f>
        <v/>
      </c>
      <c r="J10">
        <f>LV!$B$10</f>
        <v>0</v>
      </c>
      <c r="K10" t="str">
        <f>LV!$I$18</f>
        <v/>
      </c>
      <c r="L10" t="str">
        <f>IF(ISBLANK(Lähtötiedot!$O$18),"",Lähtötiedot!$O$18)</f>
        <v/>
      </c>
      <c r="M10" t="str">
        <f>IF(ISBLANK(Lähtötiedot!$O$16),"",Lähtötiedot!$O$16)</f>
        <v/>
      </c>
      <c r="N10" s="73" t="str">
        <f>IF(ISBLANK(Lähtötiedot!$O$15),"",Lähtötiedot!$O$15)</f>
        <v/>
      </c>
      <c r="O10" s="73"/>
      <c r="P10" s="137"/>
      <c r="Q10" s="137"/>
      <c r="R10" s="137"/>
      <c r="S10" s="137"/>
      <c r="T10" s="137"/>
      <c r="U10" s="137"/>
      <c r="V10" s="137"/>
      <c r="W10" s="137"/>
      <c r="X10" s="137"/>
      <c r="Y10" s="137"/>
    </row>
    <row r="11" spans="1:25" x14ac:dyDescent="0.25">
      <c r="A11" t="str">
        <f>Turvallinen_ja_toimintavarma!I14</f>
        <v>Ei kuulu</v>
      </c>
      <c r="B11" t="str">
        <f>Turvallinen_ja_toimintavarma!P14</f>
        <v/>
      </c>
      <c r="C11" s="74">
        <f>Turvallinen_ja_toimintavarma!A14</f>
        <v>4</v>
      </c>
      <c r="D11" t="str">
        <f>Turvallinen_ja_toimintavarma!C14</f>
        <v>A</v>
      </c>
      <c r="E11" t="str">
        <f>IF(ISBLANK(Turvallinen_ja_toimintavarma!K14),"_Otsikkorivi",Turvallinen_ja_toimintavarma!K14)</f>
        <v>Turvallinen ja toimintavarma</v>
      </c>
      <c r="F11" t="str">
        <f>Turvallinen_ja_toimintavarma!L14</f>
        <v>1. Laadukas, raakaveden laadun huomioiva, kriteerit täyttävä vedenkäsittelyprosessi</v>
      </c>
      <c r="G11" t="str">
        <f>IF(ISBLANK(Turvallinen_ja_toimintavarma!R14),"Otsikkorivi",Turvallinen_ja_toimintavarma!R14)</f>
        <v>1.9 Talousveden käsittelyprosessin kriittisten toimintojen toimivuutta on varmistettu kahdentamalla (esim. laitteet, vaihtoehtoinen käsittelyprosessi/kemikaali/toimittaja)</v>
      </c>
      <c r="H11" t="str">
        <f>IF(Turvallinen_ja_toimintavarma!N14="x","Kyllä","Ei")</f>
        <v>Kyllä</v>
      </c>
      <c r="I11" t="str">
        <f>IF(ISBLANK(Turvallinen_ja_toimintavarma!S14),"",Turvallinen_ja_toimintavarma!S14)</f>
        <v/>
      </c>
      <c r="J11">
        <f>LV!$B$10</f>
        <v>0</v>
      </c>
      <c r="K11" t="str">
        <f>LV!$I$18</f>
        <v/>
      </c>
      <c r="L11" t="str">
        <f>IF(ISBLANK(Lähtötiedot!$O$18),"",Lähtötiedot!$O$18)</f>
        <v/>
      </c>
      <c r="M11" t="str">
        <f>IF(ISBLANK(Lähtötiedot!$O$16),"",Lähtötiedot!$O$16)</f>
        <v/>
      </c>
      <c r="N11" s="73" t="str">
        <f>IF(ISBLANK(Lähtötiedot!$O$15),"",Lähtötiedot!$O$15)</f>
        <v/>
      </c>
      <c r="O11" s="73"/>
      <c r="P11" s="137"/>
      <c r="Q11" s="137"/>
      <c r="R11" s="137"/>
      <c r="S11" s="137"/>
      <c r="T11" s="137"/>
      <c r="U11" s="137"/>
      <c r="V11" s="137"/>
      <c r="W11" s="137"/>
      <c r="X11" s="137"/>
      <c r="Y11" s="137"/>
    </row>
    <row r="12" spans="1:25" x14ac:dyDescent="0.25">
      <c r="A12" t="str">
        <f>Turvallinen_ja_toimintavarma!I15</f>
        <v>Ei kuulu</v>
      </c>
      <c r="B12" t="str">
        <f>Turvallinen_ja_toimintavarma!P15</f>
        <v/>
      </c>
      <c r="C12" s="74">
        <f>Turvallinen_ja_toimintavarma!A15</f>
        <v>4</v>
      </c>
      <c r="D12" t="str">
        <f>Turvallinen_ja_toimintavarma!C15</f>
        <v>B</v>
      </c>
      <c r="E12" t="str">
        <f>IF(ISBLANK(Turvallinen_ja_toimintavarma!K15),"_Otsikkorivi",Turvallinen_ja_toimintavarma!K15)</f>
        <v>Turvallinen ja toimintavarma</v>
      </c>
      <c r="F12" t="str">
        <f>Turvallinen_ja_toimintavarma!L15</f>
        <v>1. Laadukas, raakaveden laadun huomioiva, kriteerit täyttävä vedenkäsittelyprosessi</v>
      </c>
      <c r="G12" t="str">
        <f>IF(ISBLANK(Turvallinen_ja_toimintavarma!R15),"Otsikkorivi",Turvallinen_ja_toimintavarma!R15)</f>
        <v>1.10. Vesilaitoksella on käytössä omassa tai ulkopuolisen hallinnassa oleva verkostomalli vedenjakelun varmistamiseen ja kehittämiseen.</v>
      </c>
      <c r="H12" t="str">
        <f>IF(Turvallinen_ja_toimintavarma!N15="x","Kyllä","Ei")</f>
        <v>Ei</v>
      </c>
      <c r="I12" t="str">
        <f>IF(ISBLANK(Turvallinen_ja_toimintavarma!S15),"",Turvallinen_ja_toimintavarma!S15)</f>
        <v/>
      </c>
      <c r="J12">
        <f>LV!$B$10</f>
        <v>0</v>
      </c>
      <c r="K12" t="str">
        <f>LV!$I$18</f>
        <v/>
      </c>
      <c r="L12" t="str">
        <f>IF(ISBLANK(Lähtötiedot!$O$18),"",Lähtötiedot!$O$18)</f>
        <v/>
      </c>
      <c r="M12" t="str">
        <f>IF(ISBLANK(Lähtötiedot!$O$16),"",Lähtötiedot!$O$16)</f>
        <v/>
      </c>
      <c r="N12" s="73" t="str">
        <f>IF(ISBLANK(Lähtötiedot!$O$15),"",Lähtötiedot!$O$15)</f>
        <v/>
      </c>
      <c r="O12" s="73"/>
      <c r="P12" s="137"/>
      <c r="Q12" s="137"/>
      <c r="R12" s="137"/>
      <c r="S12" s="137"/>
      <c r="T12" s="137"/>
      <c r="U12" s="137"/>
      <c r="V12" s="137"/>
      <c r="W12" s="137"/>
      <c r="X12" s="137"/>
      <c r="Y12" s="137"/>
    </row>
    <row r="13" spans="1:25" x14ac:dyDescent="0.25">
      <c r="A13" t="str">
        <f>Turvallinen_ja_toimintavarma!I16</f>
        <v>Ei kuulu</v>
      </c>
      <c r="B13" t="str">
        <f>Turvallinen_ja_toimintavarma!P16</f>
        <v/>
      </c>
      <c r="C13" s="74">
        <f>Turvallinen_ja_toimintavarma!A16</f>
        <v>5</v>
      </c>
      <c r="D13" t="str">
        <f>Turvallinen_ja_toimintavarma!C16</f>
        <v>A</v>
      </c>
      <c r="E13" t="str">
        <f>IF(ISBLANK(Turvallinen_ja_toimintavarma!K16),"_Otsikkorivi",Turvallinen_ja_toimintavarma!K16)</f>
        <v>Turvallinen ja toimintavarma</v>
      </c>
      <c r="F13" t="str">
        <f>Turvallinen_ja_toimintavarma!L16</f>
        <v>1. Laadukas, raakaveden laadun huomioiva, kriteerit täyttävä vedenkäsittelyprosessi</v>
      </c>
      <c r="G13" t="str">
        <f>IF(ISBLANK(Turvallinen_ja_toimintavarma!R16),"Otsikkorivi",Turvallinen_ja_toimintavarma!R16)</f>
        <v xml:space="preserve">1.11 Talousveden käsittelyprosessin poistoteho on kemiallisen saastumisen tilanteessa arvioitu ja prosessia voidaan tarvittaessa tehostaa. (esim. aktiivihiilen syöttö) </v>
      </c>
      <c r="H13" t="str">
        <f>IF(Turvallinen_ja_toimintavarma!N16="x","Kyllä","Ei")</f>
        <v>Ei</v>
      </c>
      <c r="I13" t="str">
        <f>IF(ISBLANK(Turvallinen_ja_toimintavarma!S16),"",Turvallinen_ja_toimintavarma!S16)</f>
        <v/>
      </c>
      <c r="J13">
        <f>LV!$B$10</f>
        <v>0</v>
      </c>
      <c r="K13" t="str">
        <f>LV!$I$18</f>
        <v/>
      </c>
      <c r="L13" t="str">
        <f>IF(ISBLANK(Lähtötiedot!$O$18),"",Lähtötiedot!$O$18)</f>
        <v/>
      </c>
      <c r="M13" t="str">
        <f>IF(ISBLANK(Lähtötiedot!$O$16),"",Lähtötiedot!$O$16)</f>
        <v/>
      </c>
      <c r="N13" s="73" t="str">
        <f>IF(ISBLANK(Lähtötiedot!$O$15),"",Lähtötiedot!$O$15)</f>
        <v/>
      </c>
      <c r="O13" s="73"/>
      <c r="P13" s="137"/>
      <c r="Q13" s="137"/>
      <c r="R13" s="137"/>
      <c r="S13" s="137"/>
      <c r="T13" s="137"/>
      <c r="U13" s="137"/>
      <c r="V13" s="137"/>
      <c r="W13" s="137"/>
      <c r="X13" s="137"/>
      <c r="Y13" s="137"/>
    </row>
    <row r="14" spans="1:25" hidden="1" x14ac:dyDescent="0.25">
      <c r="A14" t="str">
        <f>Turvallinen_ja_toimintavarma!I17</f>
        <v>Ei kuulu</v>
      </c>
      <c r="B14" t="str">
        <f>Turvallinen_ja_toimintavarma!P17</f>
        <v/>
      </c>
      <c r="C14" s="74" t="str">
        <f>Turvallinen_ja_toimintavarma!A17</f>
        <v xml:space="preserve">1,2,3,4 </v>
      </c>
      <c r="D14" t="str">
        <f>Turvallinen_ja_toimintavarma!C17</f>
        <v>A,B,C,D</v>
      </c>
      <c r="E14" t="str">
        <f>IF(ISBLANK(Turvallinen_ja_toimintavarma!K17),"_Otsikkorivi",Turvallinen_ja_toimintavarma!K17)</f>
        <v>Turvallinen ja toimintavarma</v>
      </c>
      <c r="F14" t="str">
        <f>Turvallinen_ja_toimintavarma!L17</f>
        <v>_Otsikkorivi</v>
      </c>
      <c r="G14" t="str">
        <f>IF(ISBLANK(Turvallinen_ja_toimintavarma!R17),"Otsikkorivi",Turvallinen_ja_toimintavarma!R17)</f>
        <v>2. Ajantasainen varautumis- ja valmiussuunnittelu ja yhteistyö muiden toimijoiden kanssa</v>
      </c>
      <c r="H14" t="str">
        <f>IF(Turvallinen_ja_toimintavarma!N17="x","Kyllä","Ei")</f>
        <v>Ei</v>
      </c>
      <c r="I14" t="str">
        <f>IF(ISBLANK(Turvallinen_ja_toimintavarma!S17),"",Turvallinen_ja_toimintavarma!S17)</f>
        <v/>
      </c>
      <c r="J14">
        <f>LV!$B$10</f>
        <v>0</v>
      </c>
      <c r="K14" t="str">
        <f>LV!$I$18</f>
        <v/>
      </c>
      <c r="L14" t="str">
        <f>IF(ISBLANK(Lähtötiedot!$O$18),"",Lähtötiedot!$O$18)</f>
        <v/>
      </c>
      <c r="M14" t="str">
        <f>IF(ISBLANK(Lähtötiedot!$O$16),"",Lähtötiedot!$O$16)</f>
        <v/>
      </c>
      <c r="N14" s="73" t="str">
        <f>IF(ISBLANK(Lähtötiedot!$O$15),"",Lähtötiedot!$O$15)</f>
        <v/>
      </c>
      <c r="O14" s="73"/>
      <c r="P14" s="137"/>
      <c r="Q14" s="137"/>
      <c r="R14" s="137"/>
      <c r="S14" s="137"/>
      <c r="T14" s="137"/>
      <c r="U14" s="137"/>
      <c r="V14" s="137"/>
      <c r="W14" s="137"/>
      <c r="X14" s="137"/>
      <c r="Y14" s="137"/>
    </row>
    <row r="15" spans="1:25" x14ac:dyDescent="0.25">
      <c r="A15" t="str">
        <f>Turvallinen_ja_toimintavarma!I18</f>
        <v>Ei kuulu</v>
      </c>
      <c r="B15" t="str">
        <f>Turvallinen_ja_toimintavarma!P18</f>
        <v/>
      </c>
      <c r="C15" s="74" t="str">
        <f>Turvallinen_ja_toimintavarma!A18</f>
        <v>1,2,3,4</v>
      </c>
      <c r="D15" t="str">
        <f>Turvallinen_ja_toimintavarma!C18</f>
        <v>A,B,C,D</v>
      </c>
      <c r="E15" t="str">
        <f>IF(ISBLANK(Turvallinen_ja_toimintavarma!K18),"_Otsikkorivi",Turvallinen_ja_toimintavarma!K18)</f>
        <v>Turvallinen ja toimintavarma</v>
      </c>
      <c r="F15" t="str">
        <f>Turvallinen_ja_toimintavarma!L18</f>
        <v>2. Ajantasainen varautumis- ja valmiussuunnittelu ja yhteistyö muiden toimijoiden kanssa</v>
      </c>
      <c r="G15" t="str">
        <f>IF(ISBLANK(Turvallinen_ja_toimintavarma!R18),"Otsikkorivi",Turvallinen_ja_toimintavarma!R18)</f>
        <v>2.1 Vesihuoltolaitoksella on vähintään vuosittain arvioitava ja tarvittaessa päivitettävä varautumissuunnitelma</v>
      </c>
      <c r="H15" t="str">
        <f>IF(Turvallinen_ja_toimintavarma!N18="x","Kyllä","Ei")</f>
        <v>Kyllä</v>
      </c>
      <c r="I15" t="str">
        <f>IF(ISBLANK(Turvallinen_ja_toimintavarma!S18),"",Turvallinen_ja_toimintavarma!S18)</f>
        <v/>
      </c>
      <c r="J15">
        <f>LV!$B$10</f>
        <v>0</v>
      </c>
      <c r="K15" t="str">
        <f>LV!$I$18</f>
        <v/>
      </c>
      <c r="L15" t="str">
        <f>IF(ISBLANK(Lähtötiedot!$O$18),"",Lähtötiedot!$O$18)</f>
        <v/>
      </c>
      <c r="M15" t="str">
        <f>IF(ISBLANK(Lähtötiedot!$O$16),"",Lähtötiedot!$O$16)</f>
        <v/>
      </c>
      <c r="N15" s="73" t="str">
        <f>IF(ISBLANK(Lähtötiedot!$O$15),"",Lähtötiedot!$O$15)</f>
        <v/>
      </c>
      <c r="O15" s="73"/>
      <c r="P15" s="137"/>
      <c r="Q15" s="137"/>
      <c r="R15" s="137"/>
      <c r="S15" s="137"/>
      <c r="T15" s="137"/>
      <c r="U15" s="137"/>
      <c r="V15" s="137"/>
      <c r="W15" s="137"/>
      <c r="X15" s="137"/>
      <c r="Y15" s="137"/>
    </row>
    <row r="16" spans="1:25" x14ac:dyDescent="0.25">
      <c r="A16" t="str">
        <f>Turvallinen_ja_toimintavarma!I19</f>
        <v>Ei kuulu</v>
      </c>
      <c r="B16" t="str">
        <f>Turvallinen_ja_toimintavarma!P19</f>
        <v/>
      </c>
      <c r="C16" s="74" t="str">
        <f>Turvallinen_ja_toimintavarma!A19</f>
        <v>1,2,3,4</v>
      </c>
      <c r="D16" t="str">
        <f>Turvallinen_ja_toimintavarma!C19</f>
        <v>A,B</v>
      </c>
      <c r="E16" t="str">
        <f>IF(ISBLANK(Turvallinen_ja_toimintavarma!K19),"_Otsikkorivi",Turvallinen_ja_toimintavarma!K19)</f>
        <v>Turvallinen ja toimintavarma</v>
      </c>
      <c r="F16" t="str">
        <f>Turvallinen_ja_toimintavarma!L19</f>
        <v>2. Ajantasainen varautumis- ja valmiussuunnittelu ja yhteistyö muiden toimijoiden kanssa</v>
      </c>
      <c r="G16" t="str">
        <f>IF(ISBLANK(Turvallinen_ja_toimintavarma!R19),"Otsikkorivi",Turvallinen_ja_toimintavarma!R19)</f>
        <v>2.2 Talousveden laaturiskejä arvioidaan ja riskienhallintaa kehitetään ja sen toimivuutta seurataan systemaattisesti esim. WSP-työkalun avulla</v>
      </c>
      <c r="H16" t="str">
        <f>IF(Turvallinen_ja_toimintavarma!N19="x","Kyllä","Ei")</f>
        <v>Kyllä</v>
      </c>
      <c r="I16" t="str">
        <f>IF(ISBLANK(Turvallinen_ja_toimintavarma!S19),"",Turvallinen_ja_toimintavarma!S19)</f>
        <v/>
      </c>
      <c r="J16">
        <f>LV!$B$10</f>
        <v>0</v>
      </c>
      <c r="K16" t="str">
        <f>LV!$I$18</f>
        <v/>
      </c>
      <c r="L16" t="str">
        <f>IF(ISBLANK(Lähtötiedot!$O$18),"",Lähtötiedot!$O$18)</f>
        <v/>
      </c>
      <c r="M16" t="str">
        <f>IF(ISBLANK(Lähtötiedot!$O$16),"",Lähtötiedot!$O$16)</f>
        <v/>
      </c>
      <c r="N16" s="73" t="str">
        <f>IF(ISBLANK(Lähtötiedot!$O$15),"",Lähtötiedot!$O$15)</f>
        <v/>
      </c>
      <c r="O16" s="73"/>
      <c r="P16" s="137"/>
      <c r="Q16" s="137"/>
      <c r="R16" s="137"/>
      <c r="S16" s="137"/>
      <c r="T16" s="137"/>
      <c r="U16" s="137"/>
      <c r="V16" s="137"/>
      <c r="W16" s="137"/>
      <c r="X16" s="137"/>
      <c r="Y16" s="137"/>
    </row>
    <row r="17" spans="1:25" x14ac:dyDescent="0.25">
      <c r="A17" t="str">
        <f>Turvallinen_ja_toimintavarma!I20</f>
        <v>Ei kuulu</v>
      </c>
      <c r="B17" t="str">
        <f>Turvallinen_ja_toimintavarma!P20</f>
        <v/>
      </c>
      <c r="C17" s="74" t="str">
        <f>Turvallinen_ja_toimintavarma!A20</f>
        <v>1,2,3,4</v>
      </c>
      <c r="D17" t="str">
        <f>Turvallinen_ja_toimintavarma!C20</f>
        <v>C,D</v>
      </c>
      <c r="E17" t="str">
        <f>IF(ISBLANK(Turvallinen_ja_toimintavarma!K20),"_Otsikkorivi",Turvallinen_ja_toimintavarma!K20)</f>
        <v>Turvallinen ja toimintavarma</v>
      </c>
      <c r="F17" t="str">
        <f>Turvallinen_ja_toimintavarma!L20</f>
        <v>2. Ajantasainen varautumis- ja valmiussuunnittelu ja yhteistyö muiden toimijoiden kanssa</v>
      </c>
      <c r="G17" t="str">
        <f>IF(ISBLANK(Turvallinen_ja_toimintavarma!R20),"Otsikkorivi",Turvallinen_ja_toimintavarma!R20)</f>
        <v>2.3 Viemäröinnin ja jätevedenpuhdistuksen ympäristö- ja terveysriskejä arvioidaan ja riskienhallintaa kehitetään systemaattisesti esim. SSP-työkalun avulla</v>
      </c>
      <c r="H17" t="str">
        <f>IF(Turvallinen_ja_toimintavarma!N20="x","Kyllä","Ei")</f>
        <v>Kyllä</v>
      </c>
      <c r="I17" t="str">
        <f>IF(ISBLANK(Turvallinen_ja_toimintavarma!S20),"",Turvallinen_ja_toimintavarma!S20)</f>
        <v/>
      </c>
      <c r="J17">
        <f>LV!$B$10</f>
        <v>0</v>
      </c>
      <c r="K17" t="str">
        <f>LV!$I$18</f>
        <v/>
      </c>
      <c r="L17" t="str">
        <f>IF(ISBLANK(Lähtötiedot!$O$18),"",Lähtötiedot!$O$18)</f>
        <v/>
      </c>
      <c r="M17" t="str">
        <f>IF(ISBLANK(Lähtötiedot!$O$16),"",Lähtötiedot!$O$16)</f>
        <v/>
      </c>
      <c r="N17" s="73" t="str">
        <f>IF(ISBLANK(Lähtötiedot!$O$15),"",Lähtötiedot!$O$15)</f>
        <v/>
      </c>
      <c r="O17" s="73"/>
      <c r="P17" s="137"/>
      <c r="Q17" s="137"/>
      <c r="R17" s="137"/>
      <c r="S17" s="137"/>
      <c r="T17" s="137"/>
      <c r="U17" s="137"/>
      <c r="V17" s="137"/>
      <c r="W17" s="137"/>
      <c r="X17" s="137"/>
      <c r="Y17" s="137"/>
    </row>
    <row r="18" spans="1:25" x14ac:dyDescent="0.25">
      <c r="A18" t="str">
        <f>Turvallinen_ja_toimintavarma!I21</f>
        <v>Ei kuulu</v>
      </c>
      <c r="B18" t="str">
        <f>Turvallinen_ja_toimintavarma!P21</f>
        <v/>
      </c>
      <c r="C18" s="74" t="str">
        <f>Turvallinen_ja_toimintavarma!A21</f>
        <v>1,2,3,4</v>
      </c>
      <c r="D18" t="str">
        <f>Turvallinen_ja_toimintavarma!C21</f>
        <v>A,B,C,D</v>
      </c>
      <c r="E18" t="str">
        <f>IF(ISBLANK(Turvallinen_ja_toimintavarma!K21),"_Otsikkorivi",Turvallinen_ja_toimintavarma!K21)</f>
        <v>Turvallinen ja toimintavarma</v>
      </c>
      <c r="F18" t="str">
        <f>Turvallinen_ja_toimintavarma!L21</f>
        <v>2. Ajantasainen varautumis- ja valmiussuunnittelu ja yhteistyö muiden toimijoiden kanssa</v>
      </c>
      <c r="G18" t="str">
        <f>IF(ISBLANK(Turvallinen_ja_toimintavarma!R21),"Otsikkorivi",Turvallinen_ja_toimintavarma!R21)</f>
        <v>2.4 Vesihuoltolaitoksella on tehty häiriötilanneharjoittelu vuoden sisällä yhdessä sidosryhmien kanssa (tai 3 vuoden sisällä jos ei omaa vedentuotantoa)</v>
      </c>
      <c r="H18" t="str">
        <f>IF(Turvallinen_ja_toimintavarma!N21="x","Kyllä","Ei")</f>
        <v>Kyllä</v>
      </c>
      <c r="I18" t="str">
        <f>IF(ISBLANK(Turvallinen_ja_toimintavarma!S21),"",Turvallinen_ja_toimintavarma!S21)</f>
        <v/>
      </c>
      <c r="J18">
        <f>LV!$B$10</f>
        <v>0</v>
      </c>
      <c r="K18" t="str">
        <f>LV!$I$18</f>
        <v/>
      </c>
      <c r="L18" t="str">
        <f>IF(ISBLANK(Lähtötiedot!$O$18),"",Lähtötiedot!$O$18)</f>
        <v/>
      </c>
      <c r="M18" t="str">
        <f>IF(ISBLANK(Lähtötiedot!$O$16),"",Lähtötiedot!$O$16)</f>
        <v/>
      </c>
      <c r="N18" s="73" t="str">
        <f>IF(ISBLANK(Lähtötiedot!$O$15),"",Lähtötiedot!$O$15)</f>
        <v/>
      </c>
      <c r="O18" s="73"/>
      <c r="P18" s="137"/>
      <c r="Q18" s="137"/>
      <c r="R18" s="137"/>
      <c r="S18" s="137"/>
      <c r="T18" s="137"/>
      <c r="U18" s="137"/>
      <c r="V18" s="137"/>
      <c r="W18" s="137"/>
      <c r="X18" s="137"/>
      <c r="Y18" s="137"/>
    </row>
    <row r="19" spans="1:25" x14ac:dyDescent="0.25">
      <c r="A19" t="str">
        <f>Turvallinen_ja_toimintavarma!I22</f>
        <v>Ei kuulu</v>
      </c>
      <c r="B19" t="str">
        <f>Turvallinen_ja_toimintavarma!P22</f>
        <v/>
      </c>
      <c r="C19" s="74" t="str">
        <f>Turvallinen_ja_toimintavarma!A22</f>
        <v>1,2,3,4</v>
      </c>
      <c r="D19" t="str">
        <f>Turvallinen_ja_toimintavarma!C22</f>
        <v>A,B,C,D</v>
      </c>
      <c r="E19" t="str">
        <f>IF(ISBLANK(Turvallinen_ja_toimintavarma!K22),"_Otsikkorivi",Turvallinen_ja_toimintavarma!K22)</f>
        <v>Turvallinen ja toimintavarma</v>
      </c>
      <c r="F19" t="str">
        <f>Turvallinen_ja_toimintavarma!L22</f>
        <v>2. Ajantasainen varautumis- ja valmiussuunnittelu ja yhteistyö muiden toimijoiden kanssa</v>
      </c>
      <c r="G19" t="str">
        <f>IF(ISBLANK(Turvallinen_ja_toimintavarma!R22),"Otsikkorivi",Turvallinen_ja_toimintavarma!R22)</f>
        <v>2.5 Vesihuoltopalvelun jatkuvuuden kannalta kriittiset perustoiminnot (esim. veden hankinta, veden käsittely, viemäröinti, jäteveden käsittely jne.) on tunnistettu.</v>
      </c>
      <c r="H19" t="str">
        <f>IF(Turvallinen_ja_toimintavarma!N22="x","Kyllä","Ei")</f>
        <v>Kyllä</v>
      </c>
      <c r="I19" t="str">
        <f>IF(ISBLANK(Turvallinen_ja_toimintavarma!S22),"",Turvallinen_ja_toimintavarma!S22)</f>
        <v/>
      </c>
      <c r="J19">
        <f>LV!$B$10</f>
        <v>0</v>
      </c>
      <c r="K19" t="str">
        <f>LV!$I$18</f>
        <v/>
      </c>
      <c r="L19" t="str">
        <f>IF(ISBLANK(Lähtötiedot!$O$18),"",Lähtötiedot!$O$18)</f>
        <v/>
      </c>
      <c r="M19" t="str">
        <f>IF(ISBLANK(Lähtötiedot!$O$16),"",Lähtötiedot!$O$16)</f>
        <v/>
      </c>
      <c r="N19" s="73" t="str">
        <f>IF(ISBLANK(Lähtötiedot!$O$15),"",Lähtötiedot!$O$15)</f>
        <v/>
      </c>
      <c r="O19" s="73"/>
      <c r="P19" s="137"/>
      <c r="Q19" s="137"/>
      <c r="R19" s="137"/>
      <c r="S19" s="137"/>
      <c r="T19" s="137"/>
      <c r="U19" s="137"/>
      <c r="V19" s="137"/>
      <c r="W19" s="137"/>
      <c r="X19" s="137"/>
      <c r="Y19" s="137"/>
    </row>
    <row r="20" spans="1:25" x14ac:dyDescent="0.25">
      <c r="A20" t="str">
        <f>Turvallinen_ja_toimintavarma!I23</f>
        <v>Ei kuulu</v>
      </c>
      <c r="B20" t="str">
        <f>Turvallinen_ja_toimintavarma!P23</f>
        <v/>
      </c>
      <c r="C20" s="74" t="str">
        <f>Turvallinen_ja_toimintavarma!A23</f>
        <v>1,2,3,4</v>
      </c>
      <c r="D20" t="str">
        <f>Turvallinen_ja_toimintavarma!C23</f>
        <v>A,B</v>
      </c>
      <c r="E20" t="str">
        <f>IF(ISBLANK(Turvallinen_ja_toimintavarma!K23),"_Otsikkorivi",Turvallinen_ja_toimintavarma!K23)</f>
        <v>Turvallinen ja toimintavarma</v>
      </c>
      <c r="F20" t="str">
        <f>Turvallinen_ja_toimintavarma!L23</f>
        <v>2. Ajantasainen varautumis- ja valmiussuunnittelu ja yhteistyö muiden toimijoiden kanssa</v>
      </c>
      <c r="G20" t="str">
        <f>IF(ISBLANK(Turvallinen_ja_toimintavarma!R23),"Otsikkorivi",Turvallinen_ja_toimintavarma!R23)</f>
        <v>2.6 Varavedenottamot, varavesilaitokset ja/tai varavesiyhteydet ovat joko jatkuvassa käytössä tai niiden toimintavalmius varmistetaan (esim. näytteenotoin ja koekäyttämällä) säännöllisesti vähintään vuosittain.</v>
      </c>
      <c r="H20" t="str">
        <f>IF(Turvallinen_ja_toimintavarma!N23="x","Kyllä","Ei")</f>
        <v>Kyllä</v>
      </c>
      <c r="I20" t="str">
        <f>IF(ISBLANK(Turvallinen_ja_toimintavarma!S23),"",Turvallinen_ja_toimintavarma!S23)</f>
        <v/>
      </c>
      <c r="J20">
        <f>LV!$B$10</f>
        <v>0</v>
      </c>
      <c r="K20" t="str">
        <f>LV!$I$18</f>
        <v/>
      </c>
      <c r="L20" t="str">
        <f>IF(ISBLANK(Lähtötiedot!$O$18),"",Lähtötiedot!$O$18)</f>
        <v/>
      </c>
      <c r="M20" t="str">
        <f>IF(ISBLANK(Lähtötiedot!$O$16),"",Lähtötiedot!$O$16)</f>
        <v/>
      </c>
      <c r="N20" s="73" t="str">
        <f>IF(ISBLANK(Lähtötiedot!$O$15),"",Lähtötiedot!$O$15)</f>
        <v/>
      </c>
      <c r="O20" s="73"/>
      <c r="P20" s="137"/>
      <c r="Q20" s="137"/>
      <c r="R20" s="137"/>
      <c r="S20" s="137"/>
      <c r="T20" s="137"/>
      <c r="U20" s="137"/>
      <c r="V20" s="137"/>
      <c r="W20" s="137"/>
      <c r="X20" s="137"/>
      <c r="Y20" s="137"/>
    </row>
    <row r="21" spans="1:25" x14ac:dyDescent="0.25">
      <c r="A21" t="str">
        <f>Turvallinen_ja_toimintavarma!I24</f>
        <v>Ei kuulu</v>
      </c>
      <c r="B21" t="str">
        <f>Turvallinen_ja_toimintavarma!P24</f>
        <v/>
      </c>
      <c r="C21" s="74" t="str">
        <f>Turvallinen_ja_toimintavarma!A24</f>
        <v>1,2,3,4</v>
      </c>
      <c r="D21" t="str">
        <f>Turvallinen_ja_toimintavarma!C24</f>
        <v>A,B,C,D</v>
      </c>
      <c r="E21" t="str">
        <f>IF(ISBLANK(Turvallinen_ja_toimintavarma!K24),"_Otsikkorivi",Turvallinen_ja_toimintavarma!K24)</f>
        <v>Turvallinen ja toimintavarma</v>
      </c>
      <c r="F21" t="str">
        <f>Turvallinen_ja_toimintavarma!L24</f>
        <v>2. Ajantasainen varautumis- ja valmiussuunnittelu ja yhteistyö muiden toimijoiden kanssa</v>
      </c>
      <c r="G21" t="str">
        <f>IF(ISBLANK(Turvallinen_ja_toimintavarma!R24),"Otsikkorivi",Turvallinen_ja_toimintavarma!R24)</f>
        <v>2.7 Vesihuoltolaitos hallitsee riskiperusteisesti ja oikeasuhtaisesti ilmastonmuutoksen toiminnalleen aiheuttamia riskejä.</v>
      </c>
      <c r="H21" t="str">
        <f>IF(Turvallinen_ja_toimintavarma!N24="x","Kyllä","Ei")</f>
        <v>Kyllä</v>
      </c>
      <c r="I21" t="str">
        <f>IF(ISBLANK(Turvallinen_ja_toimintavarma!S24),"",Turvallinen_ja_toimintavarma!S24)</f>
        <v/>
      </c>
      <c r="J21">
        <f>LV!$B$10</f>
        <v>0</v>
      </c>
      <c r="K21" t="str">
        <f>LV!$I$18</f>
        <v/>
      </c>
      <c r="L21" t="str">
        <f>IF(ISBLANK(Lähtötiedot!$O$18),"",Lähtötiedot!$O$18)</f>
        <v/>
      </c>
      <c r="M21" t="str">
        <f>IF(ISBLANK(Lähtötiedot!$O$16),"",Lähtötiedot!$O$16)</f>
        <v/>
      </c>
      <c r="N21" s="73" t="str">
        <f>IF(ISBLANK(Lähtötiedot!$O$15),"",Lähtötiedot!$O$15)</f>
        <v/>
      </c>
      <c r="O21" s="73"/>
      <c r="P21" s="137"/>
      <c r="Q21" s="137"/>
      <c r="R21" s="137"/>
      <c r="S21" s="137"/>
      <c r="T21" s="137"/>
      <c r="U21" s="137"/>
      <c r="V21" s="137"/>
      <c r="W21" s="137"/>
      <c r="X21" s="137"/>
      <c r="Y21" s="137"/>
    </row>
    <row r="22" spans="1:25" x14ac:dyDescent="0.25">
      <c r="A22" t="str">
        <f>Turvallinen_ja_toimintavarma!I25</f>
        <v>Ei kuulu</v>
      </c>
      <c r="B22" t="str">
        <f>Turvallinen_ja_toimintavarma!P25</f>
        <v/>
      </c>
      <c r="C22" s="74" t="str">
        <f>Turvallinen_ja_toimintavarma!A25</f>
        <v>1,2,3,4</v>
      </c>
      <c r="D22" t="str">
        <f>Turvallinen_ja_toimintavarma!C25</f>
        <v>A,B,C,D</v>
      </c>
      <c r="E22" t="str">
        <f>IF(ISBLANK(Turvallinen_ja_toimintavarma!K25),"_Otsikkorivi",Turvallinen_ja_toimintavarma!K25)</f>
        <v>Turvallinen ja toimintavarma</v>
      </c>
      <c r="F22" t="str">
        <f>Turvallinen_ja_toimintavarma!L25</f>
        <v>2. Ajantasainen varautumis- ja valmiussuunnittelu ja yhteistyö muiden toimijoiden kanssa</v>
      </c>
      <c r="G22" t="str">
        <f>IF(ISBLANK(Turvallinen_ja_toimintavarma!R25),"Otsikkorivi",Turvallinen_ja_toimintavarma!R25)</f>
        <v xml:space="preserve">2.8 Toiminnan kannalta kriittisimmät automaatio- ja ICT-järjestelmät on tunnistettu ja niiden tietoturvaa hallitaan riskiperusteisesti. </v>
      </c>
      <c r="H22" t="str">
        <f>IF(Turvallinen_ja_toimintavarma!N25="x","Kyllä","Ei")</f>
        <v>Kyllä</v>
      </c>
      <c r="I22" t="str">
        <f>IF(ISBLANK(Turvallinen_ja_toimintavarma!S25),"",Turvallinen_ja_toimintavarma!S25)</f>
        <v/>
      </c>
      <c r="J22">
        <f>LV!$B$10</f>
        <v>0</v>
      </c>
      <c r="K22" t="str">
        <f>LV!$I$18</f>
        <v/>
      </c>
      <c r="L22" t="str">
        <f>IF(ISBLANK(Lähtötiedot!$O$18),"",Lähtötiedot!$O$18)</f>
        <v/>
      </c>
      <c r="M22" t="str">
        <f>IF(ISBLANK(Lähtötiedot!$O$16),"",Lähtötiedot!$O$16)</f>
        <v/>
      </c>
      <c r="N22" s="73" t="str">
        <f>IF(ISBLANK(Lähtötiedot!$O$15),"",Lähtötiedot!$O$15)</f>
        <v/>
      </c>
      <c r="O22" s="73"/>
      <c r="P22" s="137"/>
      <c r="Q22" s="137"/>
      <c r="R22" s="137"/>
      <c r="S22" s="137"/>
      <c r="T22" s="137"/>
      <c r="U22" s="137"/>
      <c r="V22" s="137"/>
      <c r="W22" s="137"/>
      <c r="X22" s="137"/>
      <c r="Y22" s="137"/>
    </row>
    <row r="23" spans="1:25" x14ac:dyDescent="0.25">
      <c r="A23" t="str">
        <f>Turvallinen_ja_toimintavarma!I26</f>
        <v>Ei kuulu</v>
      </c>
      <c r="B23" t="str">
        <f>Turvallinen_ja_toimintavarma!P26</f>
        <v/>
      </c>
      <c r="C23" s="74" t="str">
        <f>Turvallinen_ja_toimintavarma!A26</f>
        <v>1,2,3,4</v>
      </c>
      <c r="D23" t="str">
        <f>Turvallinen_ja_toimintavarma!C26</f>
        <v>A,B,C,D</v>
      </c>
      <c r="E23" t="str">
        <f>IF(ISBLANK(Turvallinen_ja_toimintavarma!K26),"_Otsikkorivi",Turvallinen_ja_toimintavarma!K26)</f>
        <v>Turvallinen ja toimintavarma</v>
      </c>
      <c r="F23" t="str">
        <f>Turvallinen_ja_toimintavarma!L26</f>
        <v>2. Ajantasainen varautumis- ja valmiussuunnittelu ja yhteistyö muiden toimijoiden kanssa</v>
      </c>
      <c r="G23" t="str">
        <f>IF(ISBLANK(Turvallinen_ja_toimintavarma!R26),"Otsikkorivi",Turvallinen_ja_toimintavarma!R26)</f>
        <v>2.9 Vesihuoltolaitos pitää henkilöstön VAP-varaukset ajan tasalla.</v>
      </c>
      <c r="H23" t="str">
        <f>IF(Turvallinen_ja_toimintavarma!N26="x","Kyllä","Ei")</f>
        <v>Kyllä</v>
      </c>
      <c r="I23" t="str">
        <f>IF(ISBLANK(Turvallinen_ja_toimintavarma!S26),"",Turvallinen_ja_toimintavarma!S26)</f>
        <v/>
      </c>
      <c r="J23">
        <f>LV!$B$10</f>
        <v>0</v>
      </c>
      <c r="K23" t="str">
        <f>LV!$I$18</f>
        <v/>
      </c>
      <c r="L23" t="str">
        <f>IF(ISBLANK(Lähtötiedot!$O$18),"",Lähtötiedot!$O$18)</f>
        <v/>
      </c>
      <c r="M23" t="str">
        <f>IF(ISBLANK(Lähtötiedot!$O$16),"",Lähtötiedot!$O$16)</f>
        <v/>
      </c>
      <c r="N23" s="73" t="str">
        <f>IF(ISBLANK(Lähtötiedot!$O$15),"",Lähtötiedot!$O$15)</f>
        <v/>
      </c>
      <c r="O23" s="73"/>
    </row>
    <row r="24" spans="1:25" x14ac:dyDescent="0.25">
      <c r="A24" t="str">
        <f>Turvallinen_ja_toimintavarma!I27</f>
        <v>Ei kuulu</v>
      </c>
      <c r="B24" t="str">
        <f>Turvallinen_ja_toimintavarma!P27</f>
        <v/>
      </c>
      <c r="C24" s="74" t="str">
        <f>Turvallinen_ja_toimintavarma!A27</f>
        <v>1,2,3,4</v>
      </c>
      <c r="D24" t="str">
        <f>Turvallinen_ja_toimintavarma!C27</f>
        <v>A,B,C,D</v>
      </c>
      <c r="E24" t="str">
        <f>IF(ISBLANK(Turvallinen_ja_toimintavarma!K27),"_Otsikkorivi",Turvallinen_ja_toimintavarma!K27)</f>
        <v>Turvallinen ja toimintavarma</v>
      </c>
      <c r="F24" t="str">
        <f>Turvallinen_ja_toimintavarma!L27</f>
        <v>2. Ajantasainen varautumis- ja valmiussuunnittelu ja yhteistyö muiden toimijoiden kanssa</v>
      </c>
      <c r="G24" t="str">
        <f>IF(ISBLANK(Turvallinen_ja_toimintavarma!R27),"Otsikkorivi",Turvallinen_ja_toimintavarma!R27)</f>
        <v>2.10 Häiriötilanteisiin varautumisessa tehdään yhteistyötä viranomaisten, kunnan, materiaalitoimittajien, palveluntarjoajien, asiakkaiden ja muiden sidosryhmien kanssa.</v>
      </c>
      <c r="H24" t="str">
        <f>IF(Turvallinen_ja_toimintavarma!N27="x","Kyllä","Ei")</f>
        <v>Kyllä</v>
      </c>
      <c r="I24" t="str">
        <f>IF(ISBLANK(Turvallinen_ja_toimintavarma!S27),"",Turvallinen_ja_toimintavarma!S27)</f>
        <v/>
      </c>
      <c r="J24">
        <f>LV!$B$10</f>
        <v>0</v>
      </c>
      <c r="K24" t="str">
        <f>LV!$I$18</f>
        <v/>
      </c>
      <c r="L24" t="str">
        <f>IF(ISBLANK(Lähtötiedot!$O$18),"",Lähtötiedot!$O$18)</f>
        <v/>
      </c>
      <c r="M24" t="str">
        <f>IF(ISBLANK(Lähtötiedot!$O$16),"",Lähtötiedot!$O$16)</f>
        <v/>
      </c>
      <c r="N24" s="73" t="str">
        <f>IF(ISBLANK(Lähtötiedot!$O$15),"",Lähtötiedot!$O$15)</f>
        <v/>
      </c>
      <c r="O24" s="73"/>
      <c r="P24" s="40"/>
      <c r="Q24" s="40"/>
      <c r="R24" s="40"/>
      <c r="S24" s="40"/>
      <c r="T24" s="40"/>
      <c r="U24" s="40"/>
      <c r="V24" s="40"/>
      <c r="W24" s="40"/>
      <c r="X24" s="40"/>
      <c r="Y24" s="40"/>
    </row>
    <row r="25" spans="1:25" x14ac:dyDescent="0.25">
      <c r="A25" t="str">
        <f>Turvallinen_ja_toimintavarma!I28</f>
        <v>Ei kuulu</v>
      </c>
      <c r="B25" t="str">
        <f>Turvallinen_ja_toimintavarma!P28</f>
        <v/>
      </c>
      <c r="C25" s="74">
        <f>Turvallinen_ja_toimintavarma!A28</f>
        <v>1.2</v>
      </c>
      <c r="D25" t="str">
        <f>Turvallinen_ja_toimintavarma!C28</f>
        <v>A,B</v>
      </c>
      <c r="E25" t="str">
        <f>IF(ISBLANK(Turvallinen_ja_toimintavarma!K28),"_Otsikkorivi",Turvallinen_ja_toimintavarma!K28)</f>
        <v>Turvallinen ja toimintavarma</v>
      </c>
      <c r="F25" t="str">
        <f>Turvallinen_ja_toimintavarma!L28</f>
        <v>2. Ajantasainen varautumis- ja valmiussuunnittelu ja yhteistyö muiden toimijoiden kanssa</v>
      </c>
      <c r="G25" t="str">
        <f>IF(ISBLANK(Turvallinen_ja_toimintavarma!R28),"Otsikkorivi",Turvallinen_ja_toimintavarma!R28)</f>
        <v>2.11 Vesihuoltolaitoksen pääasiallinen varmuusluokka on B (Talousvettä käytettävissä ≥ 60 % normaalista kulutuksesta, mikäli vedenjakelualueen pääasiallista vesilähdettä ei voida käyttää).</v>
      </c>
      <c r="H25" t="str">
        <f>IF(Turvallinen_ja_toimintavarma!N28="x","Kyllä","Ei")</f>
        <v>Ei</v>
      </c>
      <c r="I25" t="str">
        <f>IF(ISBLANK(Turvallinen_ja_toimintavarma!S28),"",Turvallinen_ja_toimintavarma!S28)</f>
        <v/>
      </c>
      <c r="J25">
        <f>LV!$B$10</f>
        <v>0</v>
      </c>
      <c r="K25" t="str">
        <f>LV!$I$18</f>
        <v/>
      </c>
      <c r="L25" t="str">
        <f>IF(ISBLANK(Lähtötiedot!$O$18),"",Lähtötiedot!$O$18)</f>
        <v/>
      </c>
      <c r="M25" t="str">
        <f>IF(ISBLANK(Lähtötiedot!$O$16),"",Lähtötiedot!$O$16)</f>
        <v/>
      </c>
      <c r="N25" s="73" t="str">
        <f>IF(ISBLANK(Lähtötiedot!$O$15),"",Lähtötiedot!$O$15)</f>
        <v/>
      </c>
      <c r="O25" s="73"/>
      <c r="P25" s="40"/>
      <c r="Q25" s="40"/>
      <c r="R25" s="40"/>
      <c r="S25" s="40"/>
      <c r="T25" s="40"/>
      <c r="U25" s="40"/>
      <c r="V25" s="40"/>
      <c r="W25" s="40"/>
      <c r="X25" s="40"/>
      <c r="Y25" s="40"/>
    </row>
    <row r="26" spans="1:25" x14ac:dyDescent="0.25">
      <c r="A26" t="str">
        <f>Turvallinen_ja_toimintavarma!I29</f>
        <v>Ei kuulu</v>
      </c>
      <c r="B26" t="str">
        <f>Turvallinen_ja_toimintavarma!P29</f>
        <v/>
      </c>
      <c r="C26" s="74" t="str">
        <f>Turvallinen_ja_toimintavarma!A29</f>
        <v>3, 4</v>
      </c>
      <c r="D26" t="str">
        <f>Turvallinen_ja_toimintavarma!C29</f>
        <v>A,B</v>
      </c>
      <c r="E26" t="str">
        <f>IF(ISBLANK(Turvallinen_ja_toimintavarma!K29),"_Otsikkorivi",Turvallinen_ja_toimintavarma!K29)</f>
        <v>Turvallinen ja toimintavarma</v>
      </c>
      <c r="F26" t="str">
        <f>Turvallinen_ja_toimintavarma!L29</f>
        <v>2. Ajantasainen varautumis- ja valmiussuunnittelu ja yhteistyö muiden toimijoiden kanssa</v>
      </c>
      <c r="G26" t="str">
        <f>IF(ISBLANK(Turvallinen_ja_toimintavarma!R29),"Otsikkorivi",Turvallinen_ja_toimintavarma!R29)</f>
        <v>2.11 Vesihuoltolaitoksen pääasiallinen varmuusluokka on A (Talousvettä käytettävissä ≥ 90 % normaalista kulutuksesta, mikäli vedenjakelualueen pääasiallista vesilähdettä ei voida käyttää).</v>
      </c>
      <c r="H26" t="str">
        <f>IF(Turvallinen_ja_toimintavarma!N29="x","Kyllä","Ei")</f>
        <v>Kyllä</v>
      </c>
      <c r="I26" t="str">
        <f>IF(ISBLANK(Turvallinen_ja_toimintavarma!S29),"",Turvallinen_ja_toimintavarma!S29)</f>
        <v/>
      </c>
      <c r="J26">
        <f>LV!$B$10</f>
        <v>0</v>
      </c>
      <c r="K26" t="str">
        <f>LV!$I$18</f>
        <v/>
      </c>
      <c r="L26" t="str">
        <f>IF(ISBLANK(Lähtötiedot!$O$18),"",Lähtötiedot!$O$18)</f>
        <v/>
      </c>
      <c r="M26" t="str">
        <f>IF(ISBLANK(Lähtötiedot!$O$16),"",Lähtötiedot!$O$16)</f>
        <v/>
      </c>
      <c r="N26" s="73" t="str">
        <f>IF(ISBLANK(Lähtötiedot!$O$15),"",Lähtötiedot!$O$15)</f>
        <v/>
      </c>
      <c r="O26" s="73"/>
      <c r="P26" s="40"/>
      <c r="Q26" s="40"/>
      <c r="R26" s="40"/>
      <c r="S26" s="40"/>
      <c r="T26" s="40"/>
      <c r="U26" s="40"/>
      <c r="V26" s="40"/>
      <c r="W26" s="40"/>
      <c r="X26" s="40"/>
      <c r="Y26" s="40"/>
    </row>
    <row r="27" spans="1:25" x14ac:dyDescent="0.25">
      <c r="A27" t="str">
        <f>Turvallinen_ja_toimintavarma!I30</f>
        <v>Ei kuulu</v>
      </c>
      <c r="B27" t="str">
        <f>Turvallinen_ja_toimintavarma!P30</f>
        <v/>
      </c>
      <c r="C27" s="74" t="str">
        <f>Turvallinen_ja_toimintavarma!A30</f>
        <v>1,2,3,4</v>
      </c>
      <c r="D27" t="str">
        <f>Turvallinen_ja_toimintavarma!C30</f>
        <v>A,B</v>
      </c>
      <c r="E27" t="str">
        <f>IF(ISBLANK(Turvallinen_ja_toimintavarma!K30),"_Otsikkorivi",Turvallinen_ja_toimintavarma!K30)</f>
        <v>Turvallinen ja toimintavarma</v>
      </c>
      <c r="F27" t="str">
        <f>Turvallinen_ja_toimintavarma!L30</f>
        <v>2. Ajantasainen varautumis- ja valmiussuunnittelu ja yhteistyö muiden toimijoiden kanssa</v>
      </c>
      <c r="G27" t="str">
        <f>IF(ISBLANK(Turvallinen_ja_toimintavarma!R30),"Otsikkorivi",Turvallinen_ja_toimintavarma!R30)</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27" t="str">
        <f>IF(Turvallinen_ja_toimintavarma!N30="x","Kyllä","Ei")</f>
        <v>Kyllä</v>
      </c>
      <c r="I27" t="str">
        <f>IF(ISBLANK(Turvallinen_ja_toimintavarma!S30),"",Turvallinen_ja_toimintavarma!S30)</f>
        <v/>
      </c>
      <c r="J27">
        <f>LV!$B$10</f>
        <v>0</v>
      </c>
      <c r="K27" t="str">
        <f>LV!$I$18</f>
        <v/>
      </c>
      <c r="L27" t="str">
        <f>IF(ISBLANK(Lähtötiedot!$O$18),"",Lähtötiedot!$O$18)</f>
        <v/>
      </c>
      <c r="M27" t="str">
        <f>IF(ISBLANK(Lähtötiedot!$O$16),"",Lähtötiedot!$O$16)</f>
        <v/>
      </c>
      <c r="N27" s="73" t="str">
        <f>IF(ISBLANK(Lähtötiedot!$O$15),"",Lähtötiedot!$O$15)</f>
        <v/>
      </c>
      <c r="O27" s="73"/>
      <c r="P27" s="40"/>
      <c r="Q27" s="40"/>
      <c r="R27" s="40"/>
      <c r="S27" s="40"/>
      <c r="T27" s="40"/>
      <c r="U27" s="40"/>
      <c r="V27" s="40"/>
      <c r="W27" s="40"/>
      <c r="X27" s="40"/>
      <c r="Y27" s="40"/>
    </row>
    <row r="28" spans="1:25" x14ac:dyDescent="0.25">
      <c r="A28" t="str">
        <f>Turvallinen_ja_toimintavarma!I31</f>
        <v>Ei kuulu</v>
      </c>
      <c r="B28" t="str">
        <f>Turvallinen_ja_toimintavarma!P31</f>
        <v/>
      </c>
      <c r="C28" s="74" t="str">
        <f>Turvallinen_ja_toimintavarma!A31</f>
        <v>1,2,3,4</v>
      </c>
      <c r="D28" t="str">
        <f>Turvallinen_ja_toimintavarma!C31</f>
        <v>B,C</v>
      </c>
      <c r="E28" t="str">
        <f>IF(ISBLANK(Turvallinen_ja_toimintavarma!K31),"_Otsikkorivi",Turvallinen_ja_toimintavarma!K31)</f>
        <v>Turvallinen ja toimintavarma</v>
      </c>
      <c r="F28" t="str">
        <f>Turvallinen_ja_toimintavarma!L31</f>
        <v>2. Ajantasainen varautumis- ja valmiussuunnittelu ja yhteistyö muiden toimijoiden kanssa</v>
      </c>
      <c r="G28" t="str">
        <f>IF(ISBLANK(Turvallinen_ja_toimintavarma!R31),"Otsikkorivi",Turvallinen_ja_toimintavarma!R31)</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28" t="str">
        <f>IF(Turvallinen_ja_toimintavarma!N31="x","Kyllä","Ei")</f>
        <v>Kyllä</v>
      </c>
      <c r="I28" t="str">
        <f>IF(ISBLANK(Turvallinen_ja_toimintavarma!S31),"",Turvallinen_ja_toimintavarma!S31)</f>
        <v/>
      </c>
      <c r="J28">
        <f>LV!$B$10</f>
        <v>0</v>
      </c>
      <c r="K28" t="str">
        <f>LV!$I$18</f>
        <v/>
      </c>
      <c r="L28" t="str">
        <f>IF(ISBLANK(Lähtötiedot!$O$18),"",Lähtötiedot!$O$18)</f>
        <v/>
      </c>
      <c r="M28" t="str">
        <f>IF(ISBLANK(Lähtötiedot!$O$16),"",Lähtötiedot!$O$16)</f>
        <v/>
      </c>
      <c r="N28" s="73" t="str">
        <f>IF(ISBLANK(Lähtötiedot!$O$15),"",Lähtötiedot!$O$15)</f>
        <v/>
      </c>
      <c r="O28" s="73"/>
      <c r="P28" s="40"/>
      <c r="Q28" s="40"/>
      <c r="R28" s="40"/>
      <c r="S28" s="40"/>
      <c r="T28" s="40"/>
      <c r="U28" s="40"/>
      <c r="V28" s="40"/>
      <c r="W28" s="40"/>
      <c r="X28" s="40"/>
      <c r="Y28" s="40"/>
    </row>
    <row r="29" spans="1:25" x14ac:dyDescent="0.25">
      <c r="A29" t="str">
        <f>Turvallinen_ja_toimintavarma!I32</f>
        <v>Ei kuulu</v>
      </c>
      <c r="B29" t="str">
        <f>Turvallinen_ja_toimintavarma!P32</f>
        <v/>
      </c>
      <c r="C29" s="74" t="str">
        <f>Turvallinen_ja_toimintavarma!A32</f>
        <v>1,2,3,4</v>
      </c>
      <c r="D29" t="str">
        <f>Turvallinen_ja_toimintavarma!C32</f>
        <v>A,B,C,D</v>
      </c>
      <c r="E29" t="str">
        <f>IF(ISBLANK(Turvallinen_ja_toimintavarma!K32),"_Otsikkorivi",Turvallinen_ja_toimintavarma!K32)</f>
        <v>Turvallinen ja toimintavarma</v>
      </c>
      <c r="F29" t="str">
        <f>Turvallinen_ja_toimintavarma!L32</f>
        <v>2. Ajantasainen varautumis- ja valmiussuunnittelu ja yhteistyö muiden toimijoiden kanssa</v>
      </c>
      <c r="G29" t="str">
        <f>IF(ISBLANK(Turvallinen_ja_toimintavarma!R32),"Otsikkorivi",Turvallinen_ja_toimintavarma!R32)</f>
        <v xml:space="preserve">2.14 Varavoimakoneiden käyttöönotto ja toimivuus testataan säännöllisesti. </v>
      </c>
      <c r="H29" t="str">
        <f>IF(Turvallinen_ja_toimintavarma!N32="x","Kyllä","Ei")</f>
        <v>Kyllä</v>
      </c>
      <c r="I29" t="str">
        <f>IF(ISBLANK(Turvallinen_ja_toimintavarma!S32),"",Turvallinen_ja_toimintavarma!S32)</f>
        <v/>
      </c>
      <c r="J29">
        <f>LV!$B$10</f>
        <v>0</v>
      </c>
      <c r="K29" t="str">
        <f>LV!$I$18</f>
        <v/>
      </c>
      <c r="L29" t="str">
        <f>IF(ISBLANK(Lähtötiedot!$O$18),"",Lähtötiedot!$O$18)</f>
        <v/>
      </c>
      <c r="M29" t="str">
        <f>IF(ISBLANK(Lähtötiedot!$O$16),"",Lähtötiedot!$O$16)</f>
        <v/>
      </c>
      <c r="N29" s="73" t="str">
        <f>IF(ISBLANK(Lähtötiedot!$O$15),"",Lähtötiedot!$O$15)</f>
        <v/>
      </c>
      <c r="O29" s="73"/>
      <c r="P29" s="40"/>
      <c r="Q29" s="40"/>
      <c r="R29" s="40"/>
      <c r="S29" s="40"/>
      <c r="T29" s="40"/>
      <c r="U29" s="40"/>
      <c r="V29" s="40"/>
      <c r="W29" s="40"/>
      <c r="X29" s="40"/>
      <c r="Y29" s="40"/>
    </row>
    <row r="30" spans="1:25" x14ac:dyDescent="0.25">
      <c r="A30" t="str">
        <f>Turvallinen_ja_toimintavarma!I33</f>
        <v>Ei kuulu</v>
      </c>
      <c r="B30" t="str">
        <f>Turvallinen_ja_toimintavarma!P33</f>
        <v/>
      </c>
      <c r="C30" s="74" t="str">
        <f>Turvallinen_ja_toimintavarma!A33</f>
        <v xml:space="preserve">1,2,3,4 </v>
      </c>
      <c r="D30" t="str">
        <f>Turvallinen_ja_toimintavarma!C33</f>
        <v>A,B,C,D</v>
      </c>
      <c r="E30" t="str">
        <f>IF(ISBLANK(Turvallinen_ja_toimintavarma!K33),"_Otsikkorivi",Turvallinen_ja_toimintavarma!K33)</f>
        <v>Turvallinen ja toimintavarma</v>
      </c>
      <c r="F30" t="str">
        <f>Turvallinen_ja_toimintavarma!L33</f>
        <v>2. Ajantasainen varautumis- ja valmiussuunnittelu ja yhteistyö muiden toimijoiden kanssa</v>
      </c>
      <c r="G30" t="str">
        <f>IF(ISBLANK(Turvallinen_ja_toimintavarma!R33),"Otsikkorivi",Turvallinen_ja_toimintavarma!R33)</f>
        <v>2.15 Vesihuoltolaitos on selvittänyt materiaalisia yhteistyötarpeita ja -mahdollisuuksia muiden vesihuoltolaitosten kanssa. Jos yhteisiä tarpeita ja mahdollisuuksia on havaittu, on tehty yhteistyösopimuksia (esim. varavoima, vedenjakelukalusto, kemikaalit, varaosat).</v>
      </c>
      <c r="H30" t="str">
        <f>IF(Turvallinen_ja_toimintavarma!N33="x","Kyllä","Ei")</f>
        <v>Kyllä</v>
      </c>
      <c r="I30" t="str">
        <f>IF(ISBLANK(Turvallinen_ja_toimintavarma!S33),"",Turvallinen_ja_toimintavarma!S33)</f>
        <v/>
      </c>
      <c r="J30">
        <f>LV!$B$10</f>
        <v>0</v>
      </c>
      <c r="K30" t="str">
        <f>LV!$I$18</f>
        <v/>
      </c>
      <c r="L30" t="str">
        <f>IF(ISBLANK(Lähtötiedot!$O$18),"",Lähtötiedot!$O$18)</f>
        <v/>
      </c>
      <c r="M30" t="str">
        <f>IF(ISBLANK(Lähtötiedot!$O$16),"",Lähtötiedot!$O$16)</f>
        <v/>
      </c>
      <c r="N30" s="73" t="str">
        <f>IF(ISBLANK(Lähtötiedot!$O$15),"",Lähtötiedot!$O$15)</f>
        <v/>
      </c>
      <c r="O30" s="73"/>
      <c r="P30" s="40"/>
      <c r="Q30" s="40"/>
      <c r="R30" s="40"/>
      <c r="S30" s="40"/>
      <c r="T30" s="40"/>
      <c r="U30" s="40"/>
      <c r="V30" s="40"/>
      <c r="W30" s="40"/>
      <c r="X30" s="40"/>
      <c r="Y30" s="40"/>
    </row>
    <row r="31" spans="1:25" x14ac:dyDescent="0.25">
      <c r="A31" t="str">
        <f>Turvallinen_ja_toimintavarma!I34</f>
        <v>Ei kuulu</v>
      </c>
      <c r="B31" t="str">
        <f>Turvallinen_ja_toimintavarma!P34</f>
        <v/>
      </c>
      <c r="C31" s="74" t="str">
        <f>Turvallinen_ja_toimintavarma!A34</f>
        <v xml:space="preserve">1,2,3,4 </v>
      </c>
      <c r="D31" t="str">
        <f>Turvallinen_ja_toimintavarma!C34</f>
        <v>A,B,C,D</v>
      </c>
      <c r="E31" t="str">
        <f>IF(ISBLANK(Turvallinen_ja_toimintavarma!K34),"_Otsikkorivi",Turvallinen_ja_toimintavarma!K34)</f>
        <v>Turvallinen ja toimintavarma</v>
      </c>
      <c r="F31" t="str">
        <f>Turvallinen_ja_toimintavarma!L34</f>
        <v>2. Ajantasainen varautumis- ja valmiussuunnittelu ja yhteistyö muiden toimijoiden kanssa</v>
      </c>
      <c r="G31" t="str">
        <f>IF(ISBLANK(Turvallinen_ja_toimintavarma!R34),"Otsikkorivi",Turvallinen_ja_toimintavarma!R34)</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1" t="str">
        <f>IF(Turvallinen_ja_toimintavarma!N34="x","Kyllä","Ei")</f>
        <v>Kyllä</v>
      </c>
      <c r="I31" t="str">
        <f>IF(ISBLANK(Turvallinen_ja_toimintavarma!S34),"",Turvallinen_ja_toimintavarma!S34)</f>
        <v/>
      </c>
      <c r="J31">
        <f>LV!$B$10</f>
        <v>0</v>
      </c>
      <c r="K31" t="str">
        <f>LV!$I$18</f>
        <v/>
      </c>
      <c r="L31" t="str">
        <f>IF(ISBLANK(Lähtötiedot!$O$18),"",Lähtötiedot!$O$18)</f>
        <v/>
      </c>
      <c r="M31" t="str">
        <f>IF(ISBLANK(Lähtötiedot!$O$16),"",Lähtötiedot!$O$16)</f>
        <v/>
      </c>
      <c r="N31" s="73" t="str">
        <f>IF(ISBLANK(Lähtötiedot!$O$15),"",Lähtötiedot!$O$15)</f>
        <v/>
      </c>
      <c r="O31" s="73"/>
      <c r="P31" s="40"/>
      <c r="Q31" s="40"/>
      <c r="R31" s="40"/>
      <c r="S31" s="40"/>
      <c r="T31" s="40"/>
      <c r="U31" s="40"/>
      <c r="V31" s="40"/>
      <c r="W31" s="40"/>
      <c r="X31" s="40"/>
      <c r="Y31" s="40"/>
    </row>
    <row r="32" spans="1:25" x14ac:dyDescent="0.25">
      <c r="A32" t="str">
        <f>Turvallinen_ja_toimintavarma!I35</f>
        <v>Ei kuulu</v>
      </c>
      <c r="B32" t="str">
        <f>Turvallinen_ja_toimintavarma!P35</f>
        <v/>
      </c>
      <c r="C32" s="74" t="str">
        <f>Turvallinen_ja_toimintavarma!A35</f>
        <v xml:space="preserve">1,2,3,4 </v>
      </c>
      <c r="D32" t="str">
        <f>Turvallinen_ja_toimintavarma!C35</f>
        <v>B,C</v>
      </c>
      <c r="E32" t="str">
        <f>IF(ISBLANK(Turvallinen_ja_toimintavarma!K35),"_Otsikkorivi",Turvallinen_ja_toimintavarma!K35)</f>
        <v>Turvallinen ja toimintavarma</v>
      </c>
      <c r="F32" t="str">
        <f>Turvallinen_ja_toimintavarma!L35</f>
        <v>2. Ajantasainen varautumis- ja valmiussuunnittelu ja yhteistyö muiden toimijoiden kanssa</v>
      </c>
      <c r="G32" t="str">
        <f>IF(ISBLANK(Turvallinen_ja_toimintavarma!R35),"Otsikkorivi",Turvallinen_ja_toimintavarma!R35)</f>
        <v>2.17 On selvitetty mahdollisuuksia ja tarvetta vesihuoltolaitosten välisiin olennaisiin normaali/poikkeustilanteen verkostoyhteyksiin ja jos tarve on tunnistettu, on tehty sopimukset, rakennettu yhteydet sekä sovittu käytännöistä.</v>
      </c>
      <c r="H32" t="str">
        <f>IF(Turvallinen_ja_toimintavarma!N35="x","Kyllä","Ei")</f>
        <v>Kyllä</v>
      </c>
      <c r="I32" t="str">
        <f>IF(ISBLANK(Turvallinen_ja_toimintavarma!S35),"",Turvallinen_ja_toimintavarma!S35)</f>
        <v/>
      </c>
      <c r="J32">
        <f>LV!$B$10</f>
        <v>0</v>
      </c>
      <c r="K32" t="str">
        <f>LV!$I$18</f>
        <v/>
      </c>
      <c r="L32" t="str">
        <f>IF(ISBLANK(Lähtötiedot!$O$18),"",Lähtötiedot!$O$18)</f>
        <v/>
      </c>
      <c r="M32" t="str">
        <f>IF(ISBLANK(Lähtötiedot!$O$16),"",Lähtötiedot!$O$16)</f>
        <v/>
      </c>
      <c r="N32" s="73" t="str">
        <f>IF(ISBLANK(Lähtötiedot!$O$15),"",Lähtötiedot!$O$15)</f>
        <v/>
      </c>
      <c r="O32" s="73"/>
      <c r="P32" s="40"/>
      <c r="Q32" s="40"/>
      <c r="R32" s="40"/>
      <c r="S32" s="40"/>
      <c r="T32" s="40"/>
      <c r="U32" s="40"/>
      <c r="V32" s="40"/>
      <c r="W32" s="40"/>
      <c r="X32" s="40"/>
      <c r="Y32" s="40"/>
    </row>
    <row r="33" spans="1:25" x14ac:dyDescent="0.25">
      <c r="A33" t="str">
        <f>Turvallinen_ja_toimintavarma!I36</f>
        <v>Ei kuulu</v>
      </c>
      <c r="B33" t="str">
        <f>Turvallinen_ja_toimintavarma!P36</f>
        <v/>
      </c>
      <c r="C33" s="74" t="str">
        <f>Turvallinen_ja_toimintavarma!A36</f>
        <v>1,2,3,4</v>
      </c>
      <c r="D33" t="str">
        <f>Turvallinen_ja_toimintavarma!C36</f>
        <v>A,B,C,D</v>
      </c>
      <c r="E33" t="str">
        <f>IF(ISBLANK(Turvallinen_ja_toimintavarma!K36),"_Otsikkorivi",Turvallinen_ja_toimintavarma!K36)</f>
        <v>Turvallinen ja toimintavarma</v>
      </c>
      <c r="F33" t="str">
        <f>Turvallinen_ja_toimintavarma!L36</f>
        <v>2. Ajantasainen varautumis- ja valmiussuunnittelu ja yhteistyö muiden toimijoiden kanssa</v>
      </c>
      <c r="G33" t="str">
        <f>IF(ISBLANK(Turvallinen_ja_toimintavarma!R36),"Otsikkorivi",Turvallinen_ja_toimintavarma!R36)</f>
        <v>2.18 Vesihuoltolaitoksen kohteiden (esim. kiinteistöjen, toimitilojen) riittävästä fyysisestä turvallisuudesta (lukitus, kulunseuranta, aitaus, valvontakamerat tms.)  on huolehdittu asianmukaisesti ottaen huomioon niiden kriittisyys.</v>
      </c>
      <c r="H33" t="str">
        <f>IF(Turvallinen_ja_toimintavarma!N36="x","Kyllä","Ei")</f>
        <v>Kyllä</v>
      </c>
      <c r="I33" t="str">
        <f>IF(ISBLANK(Turvallinen_ja_toimintavarma!S36),"",Turvallinen_ja_toimintavarma!S36)</f>
        <v/>
      </c>
      <c r="J33">
        <f>LV!$B$10</f>
        <v>0</v>
      </c>
      <c r="K33" t="str">
        <f>LV!$I$18</f>
        <v/>
      </c>
      <c r="L33" t="str">
        <f>IF(ISBLANK(Lähtötiedot!$O$18),"",Lähtötiedot!$O$18)</f>
        <v/>
      </c>
      <c r="M33" t="str">
        <f>IF(ISBLANK(Lähtötiedot!$O$16),"",Lähtötiedot!$O$16)</f>
        <v/>
      </c>
      <c r="N33" s="73" t="str">
        <f>IF(ISBLANK(Lähtötiedot!$O$15),"",Lähtötiedot!$O$15)</f>
        <v/>
      </c>
      <c r="O33" s="73"/>
      <c r="P33" s="40"/>
      <c r="Q33" s="40"/>
      <c r="R33" s="40"/>
      <c r="S33" s="40"/>
      <c r="T33" s="40"/>
      <c r="U33" s="40"/>
      <c r="V33" s="40"/>
      <c r="W33" s="40"/>
      <c r="X33" s="40"/>
      <c r="Y33" s="40"/>
    </row>
    <row r="34" spans="1:25" x14ac:dyDescent="0.25">
      <c r="A34" t="str">
        <f>Turvallinen_ja_toimintavarma!I37</f>
        <v>Ei kuulu</v>
      </c>
      <c r="B34" t="str">
        <f>Turvallinen_ja_toimintavarma!P37</f>
        <v/>
      </c>
      <c r="C34" s="74" t="str">
        <f>Turvallinen_ja_toimintavarma!A37</f>
        <v>1,2,3,4</v>
      </c>
      <c r="D34" t="str">
        <f>Turvallinen_ja_toimintavarma!C37</f>
        <v>A,B,C,D</v>
      </c>
      <c r="E34" t="str">
        <f>IF(ISBLANK(Turvallinen_ja_toimintavarma!K37),"_Otsikkorivi",Turvallinen_ja_toimintavarma!K37)</f>
        <v>Turvallinen ja toimintavarma</v>
      </c>
      <c r="F34" t="str">
        <f>Turvallinen_ja_toimintavarma!L37</f>
        <v>2. Ajantasainen varautumis- ja valmiussuunnittelu ja yhteistyö muiden toimijoiden kanssa</v>
      </c>
      <c r="G34" t="str">
        <f>IF(ISBLANK(Turvallinen_ja_toimintavarma!R37),"Otsikkorivi",Turvallinen_ja_toimintavarma!R37)</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4" t="str">
        <f>IF(Turvallinen_ja_toimintavarma!N37="x","Kyllä","Ei")</f>
        <v>Kyllä</v>
      </c>
      <c r="I34" t="str">
        <f>IF(ISBLANK(Turvallinen_ja_toimintavarma!S37),"",Turvallinen_ja_toimintavarma!S37)</f>
        <v/>
      </c>
      <c r="J34">
        <f>LV!$B$10</f>
        <v>0</v>
      </c>
      <c r="K34" t="str">
        <f>LV!$I$18</f>
        <v/>
      </c>
      <c r="L34" t="str">
        <f>IF(ISBLANK(Lähtötiedot!$O$18),"",Lähtötiedot!$O$18)</f>
        <v/>
      </c>
      <c r="M34" t="str">
        <f>IF(ISBLANK(Lähtötiedot!$O$16),"",Lähtötiedot!$O$16)</f>
        <v/>
      </c>
      <c r="N34" s="73" t="str">
        <f>IF(ISBLANK(Lähtötiedot!$O$15),"",Lähtötiedot!$O$15)</f>
        <v/>
      </c>
      <c r="O34" s="73"/>
      <c r="P34" s="40"/>
      <c r="Q34" s="40"/>
      <c r="R34" s="40"/>
      <c r="S34" s="40"/>
      <c r="T34" s="40"/>
      <c r="U34" s="40"/>
      <c r="V34" s="40"/>
      <c r="W34" s="40"/>
      <c r="X34" s="40"/>
      <c r="Y34" s="40"/>
    </row>
    <row r="35" spans="1:25" x14ac:dyDescent="0.25">
      <c r="A35" t="str">
        <f>Turvallinen_ja_toimintavarma!I38</f>
        <v>Ei kuulu</v>
      </c>
      <c r="B35" t="str">
        <f>Turvallinen_ja_toimintavarma!P38</f>
        <v/>
      </c>
      <c r="C35" s="74" t="str">
        <f>Turvallinen_ja_toimintavarma!A38</f>
        <v>1,2,3,4</v>
      </c>
      <c r="D35" t="str">
        <f>Turvallinen_ja_toimintavarma!C38</f>
        <v>A,B,C,D</v>
      </c>
      <c r="E35" t="str">
        <f>IF(ISBLANK(Turvallinen_ja_toimintavarma!K38),"_Otsikkorivi",Turvallinen_ja_toimintavarma!K38)</f>
        <v>Turvallinen ja toimintavarma</v>
      </c>
      <c r="F35" t="str">
        <f>Turvallinen_ja_toimintavarma!L38</f>
        <v>2. Ajantasainen varautumis- ja valmiussuunnittelu ja yhteistyö muiden toimijoiden kanssa</v>
      </c>
      <c r="G35" t="str">
        <f>IF(ISBLANK(Turvallinen_ja_toimintavarma!R38),"Otsikkorivi",Turvallinen_ja_toimintavarma!R38)</f>
        <v xml:space="preserve">2.20 Vesihuoltolaitoksella on häiriötilanteiden hoitoa varten etukäteen sovittu ja harjoiteltu toimintatapa tilannekuvan kokoamiseen ja ylläpitoon. </v>
      </c>
      <c r="H35" t="str">
        <f>IF(Turvallinen_ja_toimintavarma!N38="x","Kyllä","Ei")</f>
        <v>Kyllä</v>
      </c>
      <c r="I35" t="str">
        <f>IF(ISBLANK(Turvallinen_ja_toimintavarma!S38),"",Turvallinen_ja_toimintavarma!S38)</f>
        <v/>
      </c>
      <c r="J35">
        <f>LV!$B$10</f>
        <v>0</v>
      </c>
      <c r="K35" t="str">
        <f>LV!$I$18</f>
        <v/>
      </c>
      <c r="L35" t="str">
        <f>IF(ISBLANK(Lähtötiedot!$O$18),"",Lähtötiedot!$O$18)</f>
        <v/>
      </c>
      <c r="M35" t="str">
        <f>IF(ISBLANK(Lähtötiedot!$O$16),"",Lähtötiedot!$O$16)</f>
        <v/>
      </c>
      <c r="N35" s="73" t="str">
        <f>IF(ISBLANK(Lähtötiedot!$O$15),"",Lähtötiedot!$O$15)</f>
        <v/>
      </c>
      <c r="O35" s="73"/>
      <c r="P35" s="40"/>
      <c r="Q35" s="40"/>
      <c r="R35" s="40"/>
      <c r="S35" s="40"/>
      <c r="T35" s="40"/>
      <c r="U35" s="40"/>
      <c r="V35" s="40"/>
      <c r="W35" s="40"/>
      <c r="X35" s="40"/>
      <c r="Y35" s="40"/>
    </row>
    <row r="36" spans="1:25" x14ac:dyDescent="0.25">
      <c r="A36" t="str">
        <f>Turvallinen_ja_toimintavarma!I39</f>
        <v>Ei kuulu</v>
      </c>
      <c r="B36" t="str">
        <f>Turvallinen_ja_toimintavarma!P39</f>
        <v/>
      </c>
      <c r="C36" s="74">
        <f>Turvallinen_ja_toimintavarma!A39</f>
        <v>3.4</v>
      </c>
      <c r="D36" t="str">
        <f>Turvallinen_ja_toimintavarma!C39</f>
        <v>A,B,C,D</v>
      </c>
      <c r="E36" t="str">
        <f>IF(ISBLANK(Turvallinen_ja_toimintavarma!K39),"_Otsikkorivi",Turvallinen_ja_toimintavarma!K39)</f>
        <v>Turvallinen ja toimintavarma</v>
      </c>
      <c r="F36" t="str">
        <f>Turvallinen_ja_toimintavarma!L39</f>
        <v>2. Ajantasainen varautumis- ja valmiussuunnittelu ja yhteistyö muiden toimijoiden kanssa</v>
      </c>
      <c r="G36" t="str">
        <f>IF(ISBLANK(Turvallinen_ja_toimintavarma!R39),"Otsikkorivi",Turvallinen_ja_toimintavarma!R39)</f>
        <v>2.21 Vesihuoltolaitoksella on laadittu toiminnan kannalta kriittisten automaatio- ja ICT-järjestelmien häiriötilanteiden varajärjestelyt ja häiriöistä toipuminen on suunniteltu. Tietoturvaa havainnoidaan.</v>
      </c>
      <c r="H36" t="str">
        <f>IF(Turvallinen_ja_toimintavarma!N39="x","Kyllä","Ei")</f>
        <v>Kyllä</v>
      </c>
      <c r="I36" t="str">
        <f>IF(ISBLANK(Turvallinen_ja_toimintavarma!S39),"",Turvallinen_ja_toimintavarma!S39)</f>
        <v/>
      </c>
      <c r="J36">
        <f>LV!$B$10</f>
        <v>0</v>
      </c>
      <c r="K36" t="str">
        <f>LV!$I$18</f>
        <v/>
      </c>
      <c r="L36" t="str">
        <f>IF(ISBLANK(Lähtötiedot!$O$18),"",Lähtötiedot!$O$18)</f>
        <v/>
      </c>
      <c r="M36" t="str">
        <f>IF(ISBLANK(Lähtötiedot!$O$16),"",Lähtötiedot!$O$16)</f>
        <v/>
      </c>
      <c r="N36" s="73" t="str">
        <f>IF(ISBLANK(Lähtötiedot!$O$15),"",Lähtötiedot!$O$15)</f>
        <v/>
      </c>
      <c r="O36" s="73"/>
      <c r="P36" s="40"/>
      <c r="Q36" s="40"/>
      <c r="R36" s="40"/>
      <c r="S36" s="40"/>
      <c r="T36" s="40"/>
      <c r="U36" s="40"/>
      <c r="V36" s="40"/>
      <c r="W36" s="40"/>
      <c r="X36" s="40"/>
      <c r="Y36" s="40"/>
    </row>
    <row r="37" spans="1:25" x14ac:dyDescent="0.25">
      <c r="A37" t="str">
        <f>Turvallinen_ja_toimintavarma!I40</f>
        <v>Ei kuulu</v>
      </c>
      <c r="B37" t="str">
        <f>Turvallinen_ja_toimintavarma!P40</f>
        <v/>
      </c>
      <c r="C37" s="74">
        <f>Turvallinen_ja_toimintavarma!A40</f>
        <v>3.4</v>
      </c>
      <c r="D37" t="str">
        <f>Turvallinen_ja_toimintavarma!C40</f>
        <v>A,B,C,D</v>
      </c>
      <c r="E37" t="str">
        <f>IF(ISBLANK(Turvallinen_ja_toimintavarma!K40),"_Otsikkorivi",Turvallinen_ja_toimintavarma!K40)</f>
        <v>Turvallinen ja toimintavarma</v>
      </c>
      <c r="F37" t="str">
        <f>Turvallinen_ja_toimintavarma!L40</f>
        <v>2. Ajantasainen varautumis- ja valmiussuunnittelu ja yhteistyö muiden toimijoiden kanssa</v>
      </c>
      <c r="G37" t="str">
        <f>IF(ISBLANK(Turvallinen_ja_toimintavarma!R40),"Otsikkorivi",Turvallinen_ja_toimintavarma!R40)</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37" t="str">
        <f>IF(Turvallinen_ja_toimintavarma!N40="x","Kyllä","Ei")</f>
        <v>Kyllä</v>
      </c>
      <c r="I37" t="str">
        <f>IF(ISBLANK(Turvallinen_ja_toimintavarma!S40),"",Turvallinen_ja_toimintavarma!S40)</f>
        <v/>
      </c>
      <c r="J37">
        <f>LV!$B$10</f>
        <v>0</v>
      </c>
      <c r="K37" t="str">
        <f>LV!$I$18</f>
        <v/>
      </c>
      <c r="L37" t="str">
        <f>IF(ISBLANK(Lähtötiedot!$O$18),"",Lähtötiedot!$O$18)</f>
        <v/>
      </c>
      <c r="M37" t="str">
        <f>IF(ISBLANK(Lähtötiedot!$O$16),"",Lähtötiedot!$O$16)</f>
        <v/>
      </c>
      <c r="N37" s="73" t="str">
        <f>IF(ISBLANK(Lähtötiedot!$O$15),"",Lähtötiedot!$O$15)</f>
        <v/>
      </c>
      <c r="O37" s="73"/>
      <c r="P37" s="40"/>
      <c r="Q37" s="40"/>
      <c r="R37" s="40"/>
      <c r="S37" s="40"/>
      <c r="T37" s="40"/>
      <c r="U37" s="40"/>
      <c r="V37" s="40"/>
      <c r="W37" s="40"/>
      <c r="X37" s="40"/>
      <c r="Y37" s="40"/>
    </row>
    <row r="38" spans="1:25" x14ac:dyDescent="0.25">
      <c r="A38" t="str">
        <f>Turvallinen_ja_toimintavarma!I41</f>
        <v>Ei kuulu</v>
      </c>
      <c r="B38" t="str">
        <f>Turvallinen_ja_toimintavarma!P41</f>
        <v/>
      </c>
      <c r="C38" s="74" t="str">
        <f>Turvallinen_ja_toimintavarma!A41</f>
        <v>3, 4</v>
      </c>
      <c r="D38" t="str">
        <f>Turvallinen_ja_toimintavarma!C41</f>
        <v>A,B,C,D</v>
      </c>
      <c r="E38" t="str">
        <f>IF(ISBLANK(Turvallinen_ja_toimintavarma!K41),"_Otsikkorivi",Turvallinen_ja_toimintavarma!K41)</f>
        <v>Turvallinen ja toimintavarma</v>
      </c>
      <c r="F38" t="str">
        <f>Turvallinen_ja_toimintavarma!L41</f>
        <v>2. Ajantasainen varautumis- ja valmiussuunnittelu ja yhteistyö muiden toimijoiden kanssa</v>
      </c>
      <c r="G38" t="str">
        <f>IF(ISBLANK(Turvallinen_ja_toimintavarma!R41),"Otsikkorivi",Turvallinen_ja_toimintavarma!R41)</f>
        <v>2.23 Vesihuoltolaitos pitää tarvitsemiensa ajoneuvojen ja työkoneiden ATV-varaukset ajan tasalla. (Välttämättömien ajoneuvojen ja työkoneiden varaaminen poikkeusoloissa vesihuollon käyttöön)</v>
      </c>
      <c r="H38" t="str">
        <f>IF(Turvallinen_ja_toimintavarma!N41="x","Kyllä","Ei")</f>
        <v>Kyllä</v>
      </c>
      <c r="I38" t="str">
        <f>IF(ISBLANK(Turvallinen_ja_toimintavarma!S41),"",Turvallinen_ja_toimintavarma!S41)</f>
        <v/>
      </c>
      <c r="J38">
        <f>LV!$B$10</f>
        <v>0</v>
      </c>
      <c r="K38" t="str">
        <f>LV!$I$18</f>
        <v/>
      </c>
      <c r="L38" t="str">
        <f>IF(ISBLANK(Lähtötiedot!$O$18),"",Lähtötiedot!$O$18)</f>
        <v/>
      </c>
      <c r="M38" t="str">
        <f>IF(ISBLANK(Lähtötiedot!$O$16),"",Lähtötiedot!$O$16)</f>
        <v/>
      </c>
      <c r="N38" s="73" t="str">
        <f>IF(ISBLANK(Lähtötiedot!$O$15),"",Lähtötiedot!$O$15)</f>
        <v/>
      </c>
      <c r="O38" s="73"/>
      <c r="P38" s="40"/>
      <c r="Q38" s="40"/>
      <c r="R38" s="40"/>
      <c r="S38" s="40"/>
      <c r="T38" s="40"/>
      <c r="U38" s="40"/>
      <c r="V38" s="40"/>
      <c r="W38" s="40"/>
      <c r="X38" s="40"/>
      <c r="Y38" s="40"/>
    </row>
    <row r="39" spans="1:25" x14ac:dyDescent="0.25">
      <c r="A39" t="str">
        <f>Turvallinen_ja_toimintavarma!I42</f>
        <v>Ei kuulu</v>
      </c>
      <c r="B39" t="str">
        <f>Turvallinen_ja_toimintavarma!P42</f>
        <v/>
      </c>
      <c r="C39" s="74">
        <f>Turvallinen_ja_toimintavarma!A42</f>
        <v>4</v>
      </c>
      <c r="D39" t="str">
        <f>Turvallinen_ja_toimintavarma!C42</f>
        <v>A,B,C,D</v>
      </c>
      <c r="E39" t="str">
        <f>IF(ISBLANK(Turvallinen_ja_toimintavarma!K42),"_Otsikkorivi",Turvallinen_ja_toimintavarma!K42)</f>
        <v>Turvallinen ja toimintavarma</v>
      </c>
      <c r="F39" t="str">
        <f>Turvallinen_ja_toimintavarma!L42</f>
        <v>2. Ajantasainen varautumis- ja valmiussuunnittelu ja yhteistyö muiden toimijoiden kanssa</v>
      </c>
      <c r="G39" t="str">
        <f>IF(ISBLANK(Turvallinen_ja_toimintavarma!R42),"Otsikkorivi",Turvallinen_ja_toimintavarma!R42)</f>
        <v>2.24 Automaatio- ja ICT-järjestelmien (OT- ja IT- järjestelmät) tietoturvaa on arvioitu hyödyntäen Kybermittaria tai Kyber-Vesi -hankkeen automaation vaatimuspatteristoa.</v>
      </c>
      <c r="H39" t="str">
        <f>IF(Turvallinen_ja_toimintavarma!N42="x","Kyllä","Ei")</f>
        <v>Kyllä</v>
      </c>
      <c r="I39" t="str">
        <f>IF(ISBLANK(Turvallinen_ja_toimintavarma!S42),"",Turvallinen_ja_toimintavarma!S42)</f>
        <v/>
      </c>
      <c r="J39">
        <f>LV!$B$10</f>
        <v>0</v>
      </c>
      <c r="K39" t="str">
        <f>LV!$I$18</f>
        <v/>
      </c>
      <c r="L39" t="str">
        <f>IF(ISBLANK(Lähtötiedot!$O$18),"",Lähtötiedot!$O$18)</f>
        <v/>
      </c>
      <c r="M39" t="str">
        <f>IF(ISBLANK(Lähtötiedot!$O$16),"",Lähtötiedot!$O$16)</f>
        <v/>
      </c>
      <c r="N39" s="73" t="str">
        <f>IF(ISBLANK(Lähtötiedot!$O$15),"",Lähtötiedot!$O$15)</f>
        <v/>
      </c>
      <c r="O39" s="73"/>
      <c r="P39" s="40"/>
      <c r="Q39" s="40"/>
      <c r="R39" s="40"/>
      <c r="S39" s="40"/>
      <c r="T39" s="40"/>
      <c r="U39" s="40"/>
      <c r="V39" s="40"/>
      <c r="W39" s="40"/>
      <c r="X39" s="40"/>
      <c r="Y39" s="40"/>
    </row>
    <row r="40" spans="1:25" hidden="1" x14ac:dyDescent="0.25">
      <c r="A40" t="str">
        <f>Turvallinen_ja_toimintavarma!I43</f>
        <v>Ei kuulu</v>
      </c>
      <c r="B40" t="str">
        <f>Turvallinen_ja_toimintavarma!P43</f>
        <v/>
      </c>
      <c r="C40" s="74" t="str">
        <f>Turvallinen_ja_toimintavarma!A43</f>
        <v xml:space="preserve">1,2,3,4 </v>
      </c>
      <c r="D40" t="str">
        <f>Turvallinen_ja_toimintavarma!C43</f>
        <v>A,B,C,D</v>
      </c>
      <c r="E40" t="str">
        <f>IF(ISBLANK(Turvallinen_ja_toimintavarma!K43),"_Otsikkorivi",Turvallinen_ja_toimintavarma!K43)</f>
        <v>Turvallinen ja toimintavarma</v>
      </c>
      <c r="F40" t="str">
        <f>Turvallinen_ja_toimintavarma!L43</f>
        <v>_Otsikkorivi</v>
      </c>
      <c r="G40" t="str">
        <f>IF(ISBLANK(Turvallinen_ja_toimintavarma!R43),"Otsikkorivi",Turvallinen_ja_toimintavarma!R43)</f>
        <v>3. Kriittiset asiakkaat, väliaikainen vedenjakelu ja poikkeustilanteiden viestintä</v>
      </c>
      <c r="H40" t="str">
        <f>IF(Turvallinen_ja_toimintavarma!N43="x","Kyllä","Ei")</f>
        <v>Ei</v>
      </c>
      <c r="I40" t="str">
        <f>IF(ISBLANK(Turvallinen_ja_toimintavarma!S43),"",Turvallinen_ja_toimintavarma!S43)</f>
        <v/>
      </c>
      <c r="J40">
        <f>LV!$B$10</f>
        <v>0</v>
      </c>
      <c r="K40" t="str">
        <f>LV!$I$18</f>
        <v/>
      </c>
      <c r="L40" t="str">
        <f>IF(ISBLANK(Lähtötiedot!$O$18),"",Lähtötiedot!$O$18)</f>
        <v/>
      </c>
      <c r="M40" t="str">
        <f>IF(ISBLANK(Lähtötiedot!$O$16),"",Lähtötiedot!$O$16)</f>
        <v/>
      </c>
      <c r="N40" s="73" t="str">
        <f>IF(ISBLANK(Lähtötiedot!$O$15),"",Lähtötiedot!$O$15)</f>
        <v/>
      </c>
      <c r="O40" s="73"/>
      <c r="P40" s="40"/>
      <c r="Q40" s="40"/>
      <c r="R40" s="40"/>
      <c r="S40" s="40"/>
      <c r="T40" s="40"/>
      <c r="U40" s="40"/>
      <c r="V40" s="40"/>
      <c r="W40" s="40"/>
      <c r="X40" s="40"/>
      <c r="Y40" s="40"/>
    </row>
    <row r="41" spans="1:25" x14ac:dyDescent="0.25">
      <c r="A41" t="str">
        <f>Turvallinen_ja_toimintavarma!I44</f>
        <v>Ei kuulu</v>
      </c>
      <c r="B41" t="str">
        <f>Turvallinen_ja_toimintavarma!P44</f>
        <v/>
      </c>
      <c r="C41" s="74" t="str">
        <f>Turvallinen_ja_toimintavarma!A44</f>
        <v>1,2,3,4</v>
      </c>
      <c r="D41" t="str">
        <f>Turvallinen_ja_toimintavarma!C44</f>
        <v>B</v>
      </c>
      <c r="E41" t="str">
        <f>IF(ISBLANK(Turvallinen_ja_toimintavarma!K44),"_Otsikkorivi",Turvallinen_ja_toimintavarma!K44)</f>
        <v>Turvallinen ja toimintavarma</v>
      </c>
      <c r="F41" t="str">
        <f>Turvallinen_ja_toimintavarma!L44</f>
        <v>3. Kriittiset asiakkaat, väliaikainen vedenjakelu ja poikkeustilanteiden viestintä</v>
      </c>
      <c r="G41" t="str">
        <f>IF(ISBLANK(Turvallinen_ja_toimintavarma!R44),"Otsikkorivi",Turvallinen_ja_toimintavarma!R44)</f>
        <v xml:space="preserve">3.1 Vesihuoltolaitoksen kriittiset asiakkaat on tunnistettu (määritetty ja luokiteltu) ja dokumentoitu (esim. vesihuoltolaitoksen verkkotietojärjestelmään ja varautumisohjeisiin) </v>
      </c>
      <c r="H41" t="str">
        <f>IF(Turvallinen_ja_toimintavarma!N44="x","Kyllä","Ei")</f>
        <v>Kyllä</v>
      </c>
      <c r="I41" t="str">
        <f>IF(ISBLANK(Turvallinen_ja_toimintavarma!S44),"",Turvallinen_ja_toimintavarma!S44)</f>
        <v/>
      </c>
      <c r="J41">
        <f>LV!$B$10</f>
        <v>0</v>
      </c>
      <c r="K41" t="str">
        <f>LV!$I$18</f>
        <v/>
      </c>
      <c r="L41" t="str">
        <f>IF(ISBLANK(Lähtötiedot!$O$18),"",Lähtötiedot!$O$18)</f>
        <v/>
      </c>
      <c r="M41" t="str">
        <f>IF(ISBLANK(Lähtötiedot!$O$16),"",Lähtötiedot!$O$16)</f>
        <v/>
      </c>
      <c r="N41" s="73" t="str">
        <f>IF(ISBLANK(Lähtötiedot!$O$15),"",Lähtötiedot!$O$15)</f>
        <v/>
      </c>
      <c r="O41" s="73"/>
      <c r="P41" s="40"/>
      <c r="Q41" s="40"/>
      <c r="R41" s="40"/>
      <c r="S41" s="40"/>
      <c r="T41" s="40"/>
      <c r="U41" s="40"/>
      <c r="V41" s="40"/>
      <c r="W41" s="40"/>
      <c r="X41" s="40"/>
      <c r="Y41" s="40"/>
    </row>
    <row r="42" spans="1:25" x14ac:dyDescent="0.25">
      <c r="A42" t="str">
        <f>Turvallinen_ja_toimintavarma!I45</f>
        <v>Ei kuulu</v>
      </c>
      <c r="B42" t="str">
        <f>Turvallinen_ja_toimintavarma!P45</f>
        <v/>
      </c>
      <c r="C42" s="74" t="str">
        <f>Turvallinen_ja_toimintavarma!A45</f>
        <v>1,2,3,4</v>
      </c>
      <c r="D42" t="str">
        <f>Turvallinen_ja_toimintavarma!C45</f>
        <v>B</v>
      </c>
      <c r="E42" t="str">
        <f>IF(ISBLANK(Turvallinen_ja_toimintavarma!K45),"_Otsikkorivi",Turvallinen_ja_toimintavarma!K45)</f>
        <v>Turvallinen ja toimintavarma</v>
      </c>
      <c r="F42" t="str">
        <f>Turvallinen_ja_toimintavarma!L45</f>
        <v>3. Kriittiset asiakkaat, väliaikainen vedenjakelu ja poikkeustilanteiden viestintä</v>
      </c>
      <c r="G42" t="str">
        <f>IF(ISBLANK(Turvallinen_ja_toimintavarma!R45),"Otsikkorivi",Turvallinen_ja_toimintavarma!R45)</f>
        <v>3.2 Varavedenjakelukaluston saatavuus ja riittävä kapasiteetti on varmistettu tavanomaisissa (pienivaikutteisissa) vedenjakelun häiriötilanteissa omalla kalustolla ja/tai muuten.</v>
      </c>
      <c r="H42" t="str">
        <f>IF(Turvallinen_ja_toimintavarma!N45="x","Kyllä","Ei")</f>
        <v>Kyllä</v>
      </c>
      <c r="I42" t="str">
        <f>IF(ISBLANK(Turvallinen_ja_toimintavarma!S45),"",Turvallinen_ja_toimintavarma!S45)</f>
        <v/>
      </c>
      <c r="J42">
        <f>LV!$B$10</f>
        <v>0</v>
      </c>
      <c r="K42" t="str">
        <f>LV!$I$18</f>
        <v/>
      </c>
      <c r="L42" t="str">
        <f>IF(ISBLANK(Lähtötiedot!$O$18),"",Lähtötiedot!$O$18)</f>
        <v/>
      </c>
      <c r="M42" t="str">
        <f>IF(ISBLANK(Lähtötiedot!$O$16),"",Lähtötiedot!$O$16)</f>
        <v/>
      </c>
      <c r="N42" s="73" t="str">
        <f>IF(ISBLANK(Lähtötiedot!$O$15),"",Lähtötiedot!$O$15)</f>
        <v/>
      </c>
      <c r="O42" s="73"/>
      <c r="P42" s="40"/>
      <c r="Q42" s="40"/>
      <c r="R42" s="40"/>
      <c r="S42" s="40"/>
      <c r="T42" s="40"/>
      <c r="U42" s="40"/>
      <c r="V42" s="40"/>
      <c r="W42" s="40"/>
      <c r="X42" s="40"/>
      <c r="Y42" s="40"/>
    </row>
    <row r="43" spans="1:25" x14ac:dyDescent="0.25">
      <c r="A43" t="str">
        <f>Turvallinen_ja_toimintavarma!I46</f>
        <v>Ei kuulu</v>
      </c>
      <c r="B43" t="str">
        <f>Turvallinen_ja_toimintavarma!P46</f>
        <v/>
      </c>
      <c r="C43" s="74" t="str">
        <f>Turvallinen_ja_toimintavarma!A46</f>
        <v>1,2,3,4</v>
      </c>
      <c r="D43" t="str">
        <f>Turvallinen_ja_toimintavarma!C46</f>
        <v>B</v>
      </c>
      <c r="E43" t="str">
        <f>IF(ISBLANK(Turvallinen_ja_toimintavarma!K46),"_Otsikkorivi",Turvallinen_ja_toimintavarma!K46)</f>
        <v>Turvallinen ja toimintavarma</v>
      </c>
      <c r="F43" t="str">
        <f>Turvallinen_ja_toimintavarma!L46</f>
        <v>3. Kriittiset asiakkaat, väliaikainen vedenjakelu ja poikkeustilanteiden viestintä</v>
      </c>
      <c r="G43" t="str">
        <f>IF(ISBLANK(Turvallinen_ja_toimintavarma!R46),"Otsikkorivi",Turvallinen_ja_toimintavarma!R46)</f>
        <v xml:space="preserve">3.3 Vesihuoltolaitoksen varavedenjakelu (esim. jakelupisteet, kalusto, säiliöt, pullot yms.) on suunniteltu myös laajavaikutteisiin vedenjakelutarpeisiin. </v>
      </c>
      <c r="H43" t="str">
        <f>IF(Turvallinen_ja_toimintavarma!N46="x","Kyllä","Ei")</f>
        <v>Kyllä</v>
      </c>
      <c r="I43" t="str">
        <f>IF(ISBLANK(Turvallinen_ja_toimintavarma!S46),"",Turvallinen_ja_toimintavarma!S46)</f>
        <v/>
      </c>
      <c r="J43">
        <f>LV!$B$10</f>
        <v>0</v>
      </c>
      <c r="K43" t="str">
        <f>LV!$I$18</f>
        <v/>
      </c>
      <c r="L43" t="str">
        <f>IF(ISBLANK(Lähtötiedot!$O$18),"",Lähtötiedot!$O$18)</f>
        <v/>
      </c>
      <c r="M43" t="str">
        <f>IF(ISBLANK(Lähtötiedot!$O$16),"",Lähtötiedot!$O$16)</f>
        <v/>
      </c>
      <c r="N43" s="73" t="str">
        <f>IF(ISBLANK(Lähtötiedot!$O$15),"",Lähtötiedot!$O$15)</f>
        <v/>
      </c>
      <c r="O43" s="73"/>
      <c r="P43" s="40"/>
      <c r="Q43" s="40"/>
      <c r="R43" s="40"/>
      <c r="S43" s="40"/>
      <c r="T43" s="40"/>
      <c r="U43" s="40"/>
      <c r="V43" s="40"/>
      <c r="W43" s="40"/>
      <c r="X43" s="40"/>
      <c r="Y43" s="40"/>
    </row>
    <row r="44" spans="1:25" x14ac:dyDescent="0.25">
      <c r="A44" t="str">
        <f>Turvallinen_ja_toimintavarma!I47</f>
        <v>Ei kuulu</v>
      </c>
      <c r="B44" t="str">
        <f>Turvallinen_ja_toimintavarma!P47</f>
        <v/>
      </c>
      <c r="C44" s="74" t="str">
        <f>Turvallinen_ja_toimintavarma!A47</f>
        <v>1,2,3,4</v>
      </c>
      <c r="D44" t="str">
        <f>Turvallinen_ja_toimintavarma!C47</f>
        <v>B</v>
      </c>
      <c r="E44" t="str">
        <f>IF(ISBLANK(Turvallinen_ja_toimintavarma!K47),"_Otsikkorivi",Turvallinen_ja_toimintavarma!K47)</f>
        <v>Turvallinen ja toimintavarma</v>
      </c>
      <c r="F44" t="str">
        <f>Turvallinen_ja_toimintavarma!L47</f>
        <v>3. Kriittiset asiakkaat, väliaikainen vedenjakelu ja poikkeustilanteiden viestintä</v>
      </c>
      <c r="G44" t="str">
        <f>IF(ISBLANK(Turvallinen_ja_toimintavarma!R47),"Otsikkorivi",Turvallinen_ja_toimintavarma!R47)</f>
        <v xml:space="preserve">3.4 Varavedenjakelua on harjoiteltu.  (esim. todellisten tilanteiden myötä) </v>
      </c>
      <c r="H44" t="str">
        <f>IF(Turvallinen_ja_toimintavarma!N47="x","Kyllä","Ei")</f>
        <v>Kyllä</v>
      </c>
      <c r="I44" t="str">
        <f>IF(ISBLANK(Turvallinen_ja_toimintavarma!S47),"",Turvallinen_ja_toimintavarma!S47)</f>
        <v/>
      </c>
      <c r="J44">
        <f>LV!$B$10</f>
        <v>0</v>
      </c>
      <c r="K44" t="str">
        <f>LV!$I$18</f>
        <v/>
      </c>
      <c r="L44" t="str">
        <f>IF(ISBLANK(Lähtötiedot!$O$18),"",Lähtötiedot!$O$18)</f>
        <v/>
      </c>
      <c r="M44" t="str">
        <f>IF(ISBLANK(Lähtötiedot!$O$16),"",Lähtötiedot!$O$16)</f>
        <v/>
      </c>
      <c r="N44" s="73" t="str">
        <f>IF(ISBLANK(Lähtötiedot!$O$15),"",Lähtötiedot!$O$15)</f>
        <v/>
      </c>
      <c r="O44" s="73"/>
      <c r="P44" s="40"/>
      <c r="Q44" s="40"/>
      <c r="R44" s="40"/>
      <c r="S44" s="40"/>
      <c r="T44" s="40"/>
      <c r="U44" s="40"/>
      <c r="V44" s="40"/>
      <c r="W44" s="40"/>
      <c r="X44" s="40"/>
      <c r="Y44" s="40"/>
    </row>
    <row r="45" spans="1:25" x14ac:dyDescent="0.25">
      <c r="A45" t="str">
        <f>Turvallinen_ja_toimintavarma!I48</f>
        <v>Ei kuulu</v>
      </c>
      <c r="B45" t="str">
        <f>Turvallinen_ja_toimintavarma!P48</f>
        <v/>
      </c>
      <c r="C45" s="74" t="str">
        <f>Turvallinen_ja_toimintavarma!A48</f>
        <v>1,2,3,4</v>
      </c>
      <c r="D45" t="str">
        <f>Turvallinen_ja_toimintavarma!C48</f>
        <v>B</v>
      </c>
      <c r="E45" t="str">
        <f>IF(ISBLANK(Turvallinen_ja_toimintavarma!K48),"_Otsikkorivi",Turvallinen_ja_toimintavarma!K48)</f>
        <v>Turvallinen ja toimintavarma</v>
      </c>
      <c r="F45" t="str">
        <f>Turvallinen_ja_toimintavarma!L48</f>
        <v>3. Kriittiset asiakkaat, väliaikainen vedenjakelu ja poikkeustilanteiden viestintä</v>
      </c>
      <c r="G45" t="str">
        <f>IF(ISBLANK(Turvallinen_ja_toimintavarma!R48),"Otsikkorivi",Turvallinen_ja_toimintavarma!R48)</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45" t="str">
        <f>IF(Turvallinen_ja_toimintavarma!N48="x","Kyllä","Ei")</f>
        <v>Kyllä</v>
      </c>
      <c r="I45" t="str">
        <f>IF(ISBLANK(Turvallinen_ja_toimintavarma!S48),"",Turvallinen_ja_toimintavarma!S48)</f>
        <v/>
      </c>
      <c r="J45">
        <f>LV!$B$10</f>
        <v>0</v>
      </c>
      <c r="K45" t="str">
        <f>LV!$I$18</f>
        <v/>
      </c>
      <c r="L45" t="str">
        <f>IF(ISBLANK(Lähtötiedot!$O$18),"",Lähtötiedot!$O$18)</f>
        <v/>
      </c>
      <c r="M45" t="str">
        <f>IF(ISBLANK(Lähtötiedot!$O$16),"",Lähtötiedot!$O$16)</f>
        <v/>
      </c>
      <c r="N45" s="73" t="str">
        <f>IF(ISBLANK(Lähtötiedot!$O$15),"",Lähtötiedot!$O$15)</f>
        <v/>
      </c>
      <c r="O45" s="73"/>
      <c r="P45" s="40"/>
      <c r="Q45" s="40"/>
      <c r="R45" s="40"/>
      <c r="S45" s="40"/>
      <c r="T45" s="40"/>
      <c r="U45" s="40"/>
      <c r="V45" s="40"/>
      <c r="W45" s="40"/>
      <c r="X45" s="40"/>
      <c r="Y45" s="40"/>
    </row>
    <row r="46" spans="1:25" x14ac:dyDescent="0.25">
      <c r="A46" t="str">
        <f>Turvallinen_ja_toimintavarma!I49</f>
        <v>Ei kuulu</v>
      </c>
      <c r="B46" t="str">
        <f>Turvallinen_ja_toimintavarma!P49</f>
        <v/>
      </c>
      <c r="C46" s="74" t="str">
        <f>Turvallinen_ja_toimintavarma!A49</f>
        <v>1,2,3,4</v>
      </c>
      <c r="D46" t="str">
        <f>Turvallinen_ja_toimintavarma!C49</f>
        <v>B</v>
      </c>
      <c r="E46" t="str">
        <f>IF(ISBLANK(Turvallinen_ja_toimintavarma!K49),"_Otsikkorivi",Turvallinen_ja_toimintavarma!K49)</f>
        <v>Turvallinen ja toimintavarma</v>
      </c>
      <c r="F46" t="str">
        <f>Turvallinen_ja_toimintavarma!L49</f>
        <v>3. Kriittiset asiakkaat, väliaikainen vedenjakelu ja poikkeustilanteiden viestintä</v>
      </c>
      <c r="G46" t="str">
        <f>IF(ISBLANK(Turvallinen_ja_toimintavarma!R49),"Otsikkorivi",Turvallinen_ja_toimintavarma!R49)</f>
        <v>3.6 Vesihuoltolaitos seuraa parametria yli 12 h vedentoimituskatkokset (kpl/v, liittyjät/vuosi)</v>
      </c>
      <c r="H46" t="str">
        <f>IF(Turvallinen_ja_toimintavarma!N49="x","Kyllä","Ei")</f>
        <v>Kyllä</v>
      </c>
      <c r="I46" t="str">
        <f>IF(ISBLANK(Turvallinen_ja_toimintavarma!S49),"",Turvallinen_ja_toimintavarma!S49)</f>
        <v/>
      </c>
      <c r="J46">
        <f>LV!$B$10</f>
        <v>0</v>
      </c>
      <c r="K46" t="str">
        <f>LV!$I$18</f>
        <v/>
      </c>
      <c r="L46" t="str">
        <f>IF(ISBLANK(Lähtötiedot!$O$18),"",Lähtötiedot!$O$18)</f>
        <v/>
      </c>
      <c r="M46" t="str">
        <f>IF(ISBLANK(Lähtötiedot!$O$16),"",Lähtötiedot!$O$16)</f>
        <v/>
      </c>
      <c r="N46" s="73" t="str">
        <f>IF(ISBLANK(Lähtötiedot!$O$15),"",Lähtötiedot!$O$15)</f>
        <v/>
      </c>
      <c r="O46" s="73"/>
      <c r="P46" s="40"/>
      <c r="Q46" s="40"/>
      <c r="R46" s="40"/>
      <c r="S46" s="40"/>
      <c r="T46" s="40"/>
      <c r="U46" s="40"/>
      <c r="V46" s="40"/>
      <c r="W46" s="40"/>
      <c r="X46" s="40"/>
      <c r="Y46" s="40"/>
    </row>
    <row r="47" spans="1:25" x14ac:dyDescent="0.25">
      <c r="A47" t="str">
        <f>Turvallinen_ja_toimintavarma!I50</f>
        <v>Ei kuulu</v>
      </c>
      <c r="B47" t="str">
        <f>Turvallinen_ja_toimintavarma!P50</f>
        <v/>
      </c>
      <c r="C47" s="74" t="str">
        <f>Turvallinen_ja_toimintavarma!A50</f>
        <v>1,2,3,4</v>
      </c>
      <c r="D47" t="str">
        <f>Turvallinen_ja_toimintavarma!C50</f>
        <v>B</v>
      </c>
      <c r="E47" t="str">
        <f>IF(ISBLANK(Turvallinen_ja_toimintavarma!K50),"_Otsikkorivi",Turvallinen_ja_toimintavarma!K50)</f>
        <v>Turvallinen ja toimintavarma</v>
      </c>
      <c r="F47" t="str">
        <f>Turvallinen_ja_toimintavarma!L50</f>
        <v>3. Kriittiset asiakkaat, väliaikainen vedenjakelu ja poikkeustilanteiden viestintä</v>
      </c>
      <c r="G47" t="str">
        <f>IF(ISBLANK(Turvallinen_ja_toimintavarma!R50),"Otsikkorivi",Turvallinen_ja_toimintavarma!R50)</f>
        <v>3.7 Vesihuoltolaitoksella on valmius ilmoittaa keittokehotuksesta tai muista vedenkäyttöön liittyvistä häiriöistä vedenkäyttäjille tar-koituksenmukaisia viestintäkanavia käyttäen tarvittaessa myös kohdennetusti (esim. laputtamalla, tekstiviestillä).</v>
      </c>
      <c r="H47" t="str">
        <f>IF(Turvallinen_ja_toimintavarma!N50="x","Kyllä","Ei")</f>
        <v>Kyllä</v>
      </c>
      <c r="I47" t="str">
        <f>IF(ISBLANK(Turvallinen_ja_toimintavarma!S50),"",Turvallinen_ja_toimintavarma!S50)</f>
        <v/>
      </c>
      <c r="J47">
        <f>LV!$B$10</f>
        <v>0</v>
      </c>
      <c r="K47" t="str">
        <f>LV!$I$18</f>
        <v/>
      </c>
      <c r="L47" t="str">
        <f>IF(ISBLANK(Lähtötiedot!$O$18),"",Lähtötiedot!$O$18)</f>
        <v/>
      </c>
      <c r="M47" t="str">
        <f>IF(ISBLANK(Lähtötiedot!$O$16),"",Lähtötiedot!$O$16)</f>
        <v/>
      </c>
      <c r="N47" s="73" t="str">
        <f>IF(ISBLANK(Lähtötiedot!$O$15),"",Lähtötiedot!$O$15)</f>
        <v/>
      </c>
      <c r="O47" s="73"/>
      <c r="P47" s="40"/>
      <c r="Q47" s="40"/>
      <c r="R47" s="40"/>
      <c r="S47" s="40"/>
      <c r="T47" s="40"/>
      <c r="U47" s="40"/>
      <c r="V47" s="40"/>
      <c r="W47" s="40"/>
      <c r="X47" s="40"/>
      <c r="Y47" s="40"/>
    </row>
    <row r="48" spans="1:25" x14ac:dyDescent="0.25">
      <c r="A48" t="str">
        <f>Turvallinen_ja_toimintavarma!I51</f>
        <v>Ei kuulu</v>
      </c>
      <c r="B48" t="str">
        <f>Turvallinen_ja_toimintavarma!P51</f>
        <v/>
      </c>
      <c r="C48" s="74" t="str">
        <f>Turvallinen_ja_toimintavarma!A51</f>
        <v>1,2,3,4</v>
      </c>
      <c r="D48" t="str">
        <f>Turvallinen_ja_toimintavarma!C51</f>
        <v>A,B,C,D</v>
      </c>
      <c r="E48" t="str">
        <f>IF(ISBLANK(Turvallinen_ja_toimintavarma!K51),"_Otsikkorivi",Turvallinen_ja_toimintavarma!K51)</f>
        <v>Turvallinen ja toimintavarma</v>
      </c>
      <c r="F48" t="str">
        <f>Turvallinen_ja_toimintavarma!L51</f>
        <v>3. Kriittiset asiakkaat, väliaikainen vedenjakelu ja poikkeustilanteiden viestintä</v>
      </c>
      <c r="G48" t="str">
        <f>IF(ISBLANK(Turvallinen_ja_toimintavarma!R51),"Otsikkorivi",Turvallinen_ja_toimintavarma!R51)</f>
        <v>3.8 On suunniteltu ja käyttöönotettavissa vaihtoehtoiset tiedon- ja toiminnanhallinnan sekä sisäisen viestinnän menetelmät, mikäli internet ja/tai normaalit tietoliikenneyhteydet eivät toimi.</v>
      </c>
      <c r="H48" t="str">
        <f>IF(Turvallinen_ja_toimintavarma!N51="x","Kyllä","Ei")</f>
        <v>Kyllä</v>
      </c>
      <c r="I48" t="str">
        <f>IF(ISBLANK(Turvallinen_ja_toimintavarma!S51),"",Turvallinen_ja_toimintavarma!S51)</f>
        <v/>
      </c>
      <c r="J48">
        <f>LV!$B$10</f>
        <v>0</v>
      </c>
      <c r="K48" t="str">
        <f>LV!$I$18</f>
        <v/>
      </c>
      <c r="L48" t="str">
        <f>IF(ISBLANK(Lähtötiedot!$O$18),"",Lähtötiedot!$O$18)</f>
        <v/>
      </c>
      <c r="M48" t="str">
        <f>IF(ISBLANK(Lähtötiedot!$O$16),"",Lähtötiedot!$O$16)</f>
        <v/>
      </c>
      <c r="N48" s="73" t="str">
        <f>IF(ISBLANK(Lähtötiedot!$O$15),"",Lähtötiedot!$O$15)</f>
        <v/>
      </c>
      <c r="O48" s="73"/>
      <c r="P48" s="40"/>
      <c r="Q48" s="40"/>
      <c r="R48" s="40"/>
      <c r="S48" s="40"/>
      <c r="T48" s="40"/>
      <c r="U48" s="40"/>
      <c r="V48" s="40"/>
      <c r="W48" s="40"/>
      <c r="X48" s="40"/>
      <c r="Y48" s="40"/>
    </row>
    <row r="49" spans="1:25" x14ac:dyDescent="0.25">
      <c r="A49" t="str">
        <f>Turvallinen_ja_toimintavarma!I52</f>
        <v>Ei kuulu</v>
      </c>
      <c r="B49" t="str">
        <f>Turvallinen_ja_toimintavarma!P52</f>
        <v/>
      </c>
      <c r="C49" s="74" t="str">
        <f>Turvallinen_ja_toimintavarma!A52</f>
        <v>1,2,3,4</v>
      </c>
      <c r="D49" t="str">
        <f>Turvallinen_ja_toimintavarma!C52</f>
        <v>B</v>
      </c>
      <c r="E49" t="str">
        <f>IF(ISBLANK(Turvallinen_ja_toimintavarma!K52),"_Otsikkorivi",Turvallinen_ja_toimintavarma!K52)</f>
        <v>Turvallinen ja toimintavarma</v>
      </c>
      <c r="F49" t="str">
        <f>Turvallinen_ja_toimintavarma!L52</f>
        <v>3. Kriittiset asiakkaat, väliaikainen vedenjakelu ja poikkeustilanteiden viestintä</v>
      </c>
      <c r="G49" t="str">
        <f>IF(ISBLANK(Turvallinen_ja_toimintavarma!R52),"Otsikkorivi",Turvallinen_ja_toimintavarma!R52)</f>
        <v>3.9 Putkirikkojen määrä &lt; 4 kpl/100 km/vuosi</v>
      </c>
      <c r="H49" t="str">
        <f>IF(Turvallinen_ja_toimintavarma!N52="x","Kyllä","Ei")</f>
        <v>Kyllä</v>
      </c>
      <c r="I49" t="str">
        <f>IF(ISBLANK(Turvallinen_ja_toimintavarma!S52),"",Turvallinen_ja_toimintavarma!S52)</f>
        <v/>
      </c>
      <c r="J49">
        <f>LV!$B$10</f>
        <v>0</v>
      </c>
      <c r="K49" t="str">
        <f>LV!$I$18</f>
        <v/>
      </c>
      <c r="L49" t="str">
        <f>IF(ISBLANK(Lähtötiedot!$O$18),"",Lähtötiedot!$O$18)</f>
        <v/>
      </c>
      <c r="M49" t="str">
        <f>IF(ISBLANK(Lähtötiedot!$O$16),"",Lähtötiedot!$O$16)</f>
        <v/>
      </c>
      <c r="N49" s="73" t="str">
        <f>IF(ISBLANK(Lähtötiedot!$O$15),"",Lähtötiedot!$O$15)</f>
        <v/>
      </c>
      <c r="O49" s="73"/>
      <c r="P49" s="40"/>
      <c r="Q49" s="40"/>
      <c r="R49" s="40"/>
      <c r="S49" s="40"/>
      <c r="T49" s="40"/>
      <c r="U49" s="40"/>
      <c r="V49" s="40"/>
      <c r="W49" s="40"/>
      <c r="X49" s="40"/>
      <c r="Y49" s="40"/>
    </row>
    <row r="50" spans="1:25" x14ac:dyDescent="0.25">
      <c r="A50" t="str">
        <f>Turvallinen_ja_toimintavarma!I53</f>
        <v>Ei kuulu</v>
      </c>
      <c r="B50" t="str">
        <f>Turvallinen_ja_toimintavarma!P53</f>
        <v/>
      </c>
      <c r="C50" s="74" t="str">
        <f>Turvallinen_ja_toimintavarma!A53</f>
        <v>1,2,3,4</v>
      </c>
      <c r="D50" t="str">
        <f>Turvallinen_ja_toimintavarma!C53</f>
        <v>B</v>
      </c>
      <c r="E50" t="str">
        <f>IF(ISBLANK(Turvallinen_ja_toimintavarma!K53),"_Otsikkorivi",Turvallinen_ja_toimintavarma!K53)</f>
        <v>Turvallinen ja toimintavarma</v>
      </c>
      <c r="F50" t="str">
        <f>Turvallinen_ja_toimintavarma!L53</f>
        <v>3. Kriittiset asiakkaat, väliaikainen vedenjakelu ja poikkeustilanteiden viestintä</v>
      </c>
      <c r="G50" t="str">
        <f>IF(ISBLANK(Turvallinen_ja_toimintavarma!R53),"Otsikkorivi",Turvallinen_ja_toimintavarma!R53)</f>
        <v>3.10 Laskuttamattoman talousveden osuus &lt; 15 % (1-4)</v>
      </c>
      <c r="H50" t="str">
        <f>IF(Turvallinen_ja_toimintavarma!N53="x","Kyllä","Ei")</f>
        <v>Kyllä</v>
      </c>
      <c r="I50" t="str">
        <f>IF(ISBLANK(Turvallinen_ja_toimintavarma!S53),"",Turvallinen_ja_toimintavarma!S53)</f>
        <v/>
      </c>
      <c r="J50">
        <f>LV!$B$10</f>
        <v>0</v>
      </c>
      <c r="K50" t="str">
        <f>LV!$I$18</f>
        <v/>
      </c>
      <c r="L50" t="str">
        <f>IF(ISBLANK(Lähtötiedot!$O$18),"",Lähtötiedot!$O$18)</f>
        <v/>
      </c>
      <c r="M50" t="str">
        <f>IF(ISBLANK(Lähtötiedot!$O$16),"",Lähtötiedot!$O$16)</f>
        <v/>
      </c>
      <c r="N50" s="73" t="str">
        <f>IF(ISBLANK(Lähtötiedot!$O$15),"",Lähtötiedot!$O$15)</f>
        <v/>
      </c>
      <c r="O50" s="73"/>
      <c r="P50" s="40"/>
      <c r="Q50" s="40"/>
      <c r="R50" s="40"/>
      <c r="S50" s="40"/>
      <c r="T50" s="40"/>
      <c r="U50" s="40"/>
      <c r="V50" s="40"/>
      <c r="W50" s="40"/>
      <c r="X50" s="40"/>
      <c r="Y50" s="40"/>
    </row>
    <row r="51" spans="1:25" x14ac:dyDescent="0.25">
      <c r="A51" t="str">
        <f>Turvallinen_ja_toimintavarma!I54</f>
        <v>Ei kuulu</v>
      </c>
      <c r="B51" t="str">
        <f>Turvallinen_ja_toimintavarma!P54</f>
        <v/>
      </c>
      <c r="C51" s="74" t="str">
        <f>Turvallinen_ja_toimintavarma!A54</f>
        <v>1,2,3,4</v>
      </c>
      <c r="D51" t="str">
        <f>Turvallinen_ja_toimintavarma!C54</f>
        <v>A,B,C,D</v>
      </c>
      <c r="E51" t="str">
        <f>IF(ISBLANK(Turvallinen_ja_toimintavarma!K54),"_Otsikkorivi",Turvallinen_ja_toimintavarma!K54)</f>
        <v>Turvallinen ja toimintavarma</v>
      </c>
      <c r="F51" t="str">
        <f>Turvallinen_ja_toimintavarma!L54</f>
        <v>3. Kriittiset asiakkaat, väliaikainen vedenjakelu ja poikkeustilanteiden viestintä</v>
      </c>
      <c r="G51" t="str">
        <f>IF(ISBLANK(Turvallinen_ja_toimintavarma!R54),"Otsikkorivi",Turvallinen_ja_toimintavarma!R54)</f>
        <v>3.11 Erilaisten häiriötilanteiden viestintä on suunniteltu, ohjeistettu ja sitä harjoitellaan. Yhteystiedot pidetään ajan tasalla.</v>
      </c>
      <c r="H51" t="str">
        <f>IF(Turvallinen_ja_toimintavarma!N54="x","Kyllä","Ei")</f>
        <v>Kyllä</v>
      </c>
      <c r="I51" t="str">
        <f>IF(ISBLANK(Turvallinen_ja_toimintavarma!S54),"",Turvallinen_ja_toimintavarma!S54)</f>
        <v/>
      </c>
      <c r="J51">
        <f>LV!$B$10</f>
        <v>0</v>
      </c>
      <c r="K51" t="str">
        <f>LV!$I$18</f>
        <v/>
      </c>
      <c r="L51" t="str">
        <f>IF(ISBLANK(Lähtötiedot!$O$18),"",Lähtötiedot!$O$18)</f>
        <v/>
      </c>
      <c r="M51" t="str">
        <f>IF(ISBLANK(Lähtötiedot!$O$16),"",Lähtötiedot!$O$16)</f>
        <v/>
      </c>
      <c r="N51" s="73" t="str">
        <f>IF(ISBLANK(Lähtötiedot!$O$15),"",Lähtötiedot!$O$15)</f>
        <v/>
      </c>
      <c r="O51" s="73"/>
      <c r="P51" s="40"/>
      <c r="Q51" s="40"/>
      <c r="R51" s="40"/>
      <c r="S51" s="40"/>
      <c r="T51" s="40"/>
      <c r="U51" s="40"/>
      <c r="V51" s="40"/>
      <c r="W51" s="40"/>
      <c r="X51" s="40"/>
      <c r="Y51" s="40"/>
    </row>
    <row r="52" spans="1:25" x14ac:dyDescent="0.25">
      <c r="A52" t="str">
        <f>Turvallinen_ja_toimintavarma!I55</f>
        <v>Ei kuulu</v>
      </c>
      <c r="B52" t="str">
        <f>Turvallinen_ja_toimintavarma!P55</f>
        <v/>
      </c>
      <c r="C52" s="74" t="str">
        <f>Turvallinen_ja_toimintavarma!A55</f>
        <v>3, 4</v>
      </c>
      <c r="D52" t="str">
        <f>Turvallinen_ja_toimintavarma!C55</f>
        <v>B</v>
      </c>
      <c r="E52" t="str">
        <f>IF(ISBLANK(Turvallinen_ja_toimintavarma!K55),"_Otsikkorivi",Turvallinen_ja_toimintavarma!K55)</f>
        <v>Turvallinen ja toimintavarma</v>
      </c>
      <c r="F52" t="str">
        <f>Turvallinen_ja_toimintavarma!L55</f>
        <v>3. Kriittiset asiakkaat, väliaikainen vedenjakelu ja poikkeustilanteiden viestintä</v>
      </c>
      <c r="G52" t="str">
        <f>IF(ISBLANK(Turvallinen_ja_toimintavarma!R55),"Otsikkorivi",Turvallinen_ja_toimintavarma!R55)</f>
        <v>3.12 Kriittisten asiakkaiden kanssa on käyty neuvottelu vedensaannin turvaamisesta ja tarpeellisten toimenpiteiden määrittely on tehty esim. erillisellä sopimuksella tai kriittisiä asiakkaita ei ole.</v>
      </c>
      <c r="H52" t="str">
        <f>IF(Turvallinen_ja_toimintavarma!N55="x","Kyllä","Ei")</f>
        <v>Kyllä</v>
      </c>
      <c r="I52" t="str">
        <f>IF(ISBLANK(Turvallinen_ja_toimintavarma!S55),"",Turvallinen_ja_toimintavarma!S55)</f>
        <v/>
      </c>
      <c r="J52">
        <f>LV!$B$10</f>
        <v>0</v>
      </c>
      <c r="K52" t="str">
        <f>LV!$I$18</f>
        <v/>
      </c>
      <c r="L52" t="str">
        <f>IF(ISBLANK(Lähtötiedot!$O$18),"",Lähtötiedot!$O$18)</f>
        <v/>
      </c>
      <c r="M52" t="str">
        <f>IF(ISBLANK(Lähtötiedot!$O$16),"",Lähtötiedot!$O$16)</f>
        <v/>
      </c>
      <c r="N52" s="73" t="str">
        <f>IF(ISBLANK(Lähtötiedot!$O$15),"",Lähtötiedot!$O$15)</f>
        <v/>
      </c>
      <c r="O52" s="73"/>
      <c r="P52" s="40"/>
      <c r="Q52" s="40"/>
      <c r="R52" s="40"/>
      <c r="S52" s="40"/>
      <c r="T52" s="40"/>
      <c r="U52" s="40"/>
      <c r="V52" s="40"/>
      <c r="W52" s="40"/>
      <c r="X52" s="40"/>
      <c r="Y52" s="40"/>
    </row>
    <row r="53" spans="1:25" hidden="1" x14ac:dyDescent="0.25">
      <c r="A53" t="str">
        <f>Turvallinen_ja_toimintavarma!I56</f>
        <v>Ei kuulu</v>
      </c>
      <c r="B53" t="str">
        <f>Turvallinen_ja_toimintavarma!P56</f>
        <v/>
      </c>
      <c r="C53" s="74" t="str">
        <f>Turvallinen_ja_toimintavarma!A56</f>
        <v xml:space="preserve">1,2,3,4 </v>
      </c>
      <c r="D53" t="str">
        <f>Turvallinen_ja_toimintavarma!C56</f>
        <v>A,B,C,D</v>
      </c>
      <c r="E53" t="str">
        <f>IF(ISBLANK(Turvallinen_ja_toimintavarma!K56),"_Otsikkorivi",Turvallinen_ja_toimintavarma!K56)</f>
        <v>Turvallinen ja toimintavarma</v>
      </c>
      <c r="F53" t="str">
        <f>Turvallinen_ja_toimintavarma!L56</f>
        <v>_Otsikkorivi</v>
      </c>
      <c r="G53" t="str">
        <f>IF(ISBLANK(Turvallinen_ja_toimintavarma!R56),"Otsikkorivi",Turvallinen_ja_toimintavarma!R56)</f>
        <v>4. Kemikaalit, varaosat ja kriittiset palvelut</v>
      </c>
      <c r="H53" t="str">
        <f>IF(Turvallinen_ja_toimintavarma!N56="x","Kyllä","Ei")</f>
        <v>Ei</v>
      </c>
      <c r="I53" t="str">
        <f>IF(ISBLANK(Turvallinen_ja_toimintavarma!S56),"",Turvallinen_ja_toimintavarma!S56)</f>
        <v/>
      </c>
      <c r="J53">
        <f>LV!$B$10</f>
        <v>0</v>
      </c>
      <c r="K53" t="str">
        <f>LV!$I$18</f>
        <v/>
      </c>
      <c r="L53" t="str">
        <f>IF(ISBLANK(Lähtötiedot!$O$18),"",Lähtötiedot!$O$18)</f>
        <v/>
      </c>
      <c r="M53" t="str">
        <f>IF(ISBLANK(Lähtötiedot!$O$16),"",Lähtötiedot!$O$16)</f>
        <v/>
      </c>
      <c r="N53" s="73" t="str">
        <f>IF(ISBLANK(Lähtötiedot!$O$15),"",Lähtötiedot!$O$15)</f>
        <v/>
      </c>
      <c r="O53" s="73"/>
      <c r="P53" s="40"/>
      <c r="Q53" s="40"/>
      <c r="R53" s="40"/>
      <c r="S53" s="40"/>
      <c r="T53" s="40"/>
      <c r="U53" s="40"/>
      <c r="V53" s="40"/>
      <c r="W53" s="40"/>
      <c r="X53" s="40"/>
      <c r="Y53" s="40"/>
    </row>
    <row r="54" spans="1:25" x14ac:dyDescent="0.25">
      <c r="A54" t="str">
        <f>Turvallinen_ja_toimintavarma!I57</f>
        <v>Ei kuulu</v>
      </c>
      <c r="B54" t="str">
        <f>Turvallinen_ja_toimintavarma!P57</f>
        <v/>
      </c>
      <c r="C54" s="74" t="str">
        <f>Turvallinen_ja_toimintavarma!A57</f>
        <v>1,2,3,4</v>
      </c>
      <c r="D54" t="str">
        <f>Turvallinen_ja_toimintavarma!C57</f>
        <v>A,B,C,D</v>
      </c>
      <c r="E54" t="str">
        <f>IF(ISBLANK(Turvallinen_ja_toimintavarma!K57),"_Otsikkorivi",Turvallinen_ja_toimintavarma!K57)</f>
        <v>Turvallinen ja toimintavarma</v>
      </c>
      <c r="F54" t="str">
        <f>Turvallinen_ja_toimintavarma!L57</f>
        <v>4. Kemikaalit, varaosat ja kriittiset palvelut</v>
      </c>
      <c r="G54" t="str">
        <f>IF(ISBLANK(Turvallinen_ja_toimintavarma!R57),"Otsikkorivi",Turvallinen_ja_toimintavarma!R57)</f>
        <v xml:space="preserve">4.1 Vesihuoltolaitoksen kriittiset materiaalit (kemikaalit, varaosat, yms) on tunnistettu. </v>
      </c>
      <c r="H54" t="str">
        <f>IF(Turvallinen_ja_toimintavarma!N57="x","Kyllä","Ei")</f>
        <v>Kyllä</v>
      </c>
      <c r="I54" t="str">
        <f>IF(ISBLANK(Turvallinen_ja_toimintavarma!S57),"",Turvallinen_ja_toimintavarma!S57)</f>
        <v/>
      </c>
      <c r="J54">
        <f>LV!$B$10</f>
        <v>0</v>
      </c>
      <c r="K54" t="str">
        <f>LV!$I$18</f>
        <v/>
      </c>
      <c r="L54" t="str">
        <f>IF(ISBLANK(Lähtötiedot!$O$18),"",Lähtötiedot!$O$18)</f>
        <v/>
      </c>
      <c r="M54" t="str">
        <f>IF(ISBLANK(Lähtötiedot!$O$16),"",Lähtötiedot!$O$16)</f>
        <v/>
      </c>
      <c r="N54" s="73" t="str">
        <f>IF(ISBLANK(Lähtötiedot!$O$15),"",Lähtötiedot!$O$15)</f>
        <v/>
      </c>
      <c r="O54" s="73"/>
      <c r="P54" s="40"/>
      <c r="Q54" s="40"/>
      <c r="R54" s="40"/>
      <c r="S54" s="40"/>
      <c r="T54" s="40"/>
      <c r="U54" s="40"/>
      <c r="V54" s="40"/>
      <c r="W54" s="40"/>
      <c r="X54" s="40"/>
      <c r="Y54" s="40"/>
    </row>
    <row r="55" spans="1:25" x14ac:dyDescent="0.25">
      <c r="A55" t="str">
        <f>Turvallinen_ja_toimintavarma!I58</f>
        <v>Ei kuulu</v>
      </c>
      <c r="B55" t="str">
        <f>Turvallinen_ja_toimintavarma!P58</f>
        <v/>
      </c>
      <c r="C55" s="74" t="str">
        <f>Turvallinen_ja_toimintavarma!A58</f>
        <v>1,2,3,4</v>
      </c>
      <c r="D55" t="str">
        <f>Turvallinen_ja_toimintavarma!C58</f>
        <v>A,B,C,D</v>
      </c>
      <c r="E55" t="str">
        <f>IF(ISBLANK(Turvallinen_ja_toimintavarma!K58),"_Otsikkorivi",Turvallinen_ja_toimintavarma!K58)</f>
        <v>Turvallinen ja toimintavarma</v>
      </c>
      <c r="F55" t="str">
        <f>Turvallinen_ja_toimintavarma!L58</f>
        <v>4. Kemikaalit, varaosat ja kriittiset palvelut</v>
      </c>
      <c r="G55" t="str">
        <f>IF(ISBLANK(Turvallinen_ja_toimintavarma!R58),"Otsikkorivi",Turvallinen_ja_toimintavarma!R58)</f>
        <v>4.2 Kriittisten materiaalien riittävä varastokapasiteetti ja saatavuus on määritetty ja järjestetty.</v>
      </c>
      <c r="H55" t="str">
        <f>IF(Turvallinen_ja_toimintavarma!N58="x","Kyllä","Ei")</f>
        <v>Kyllä</v>
      </c>
      <c r="I55" t="str">
        <f>IF(ISBLANK(Turvallinen_ja_toimintavarma!S58),"",Turvallinen_ja_toimintavarma!S58)</f>
        <v/>
      </c>
      <c r="J55">
        <f>LV!$B$10</f>
        <v>0</v>
      </c>
      <c r="K55" t="str">
        <f>LV!$I$18</f>
        <v/>
      </c>
      <c r="L55" t="str">
        <f>IF(ISBLANK(Lähtötiedot!$O$18),"",Lähtötiedot!$O$18)</f>
        <v/>
      </c>
      <c r="M55" t="str">
        <f>IF(ISBLANK(Lähtötiedot!$O$16),"",Lähtötiedot!$O$16)</f>
        <v/>
      </c>
      <c r="N55" s="73" t="str">
        <f>IF(ISBLANK(Lähtötiedot!$O$15),"",Lähtötiedot!$O$15)</f>
        <v/>
      </c>
      <c r="O55" s="73"/>
    </row>
    <row r="56" spans="1:25" x14ac:dyDescent="0.25">
      <c r="A56" t="str">
        <f>Turvallinen_ja_toimintavarma!I59</f>
        <v>Ei kuulu</v>
      </c>
      <c r="B56" t="str">
        <f>Turvallinen_ja_toimintavarma!P59</f>
        <v/>
      </c>
      <c r="C56" s="74" t="str">
        <f>Turvallinen_ja_toimintavarma!A59</f>
        <v>2,3,4</v>
      </c>
      <c r="D56" t="str">
        <f>Turvallinen_ja_toimintavarma!C59</f>
        <v>A,B,C,D</v>
      </c>
      <c r="E56" t="str">
        <f>IF(ISBLANK(Turvallinen_ja_toimintavarma!K59),"_Otsikkorivi",Turvallinen_ja_toimintavarma!K59)</f>
        <v>Turvallinen ja toimintavarma</v>
      </c>
      <c r="F56" t="str">
        <f>Turvallinen_ja_toimintavarma!L59</f>
        <v>4. Kemikaalit, varaosat ja kriittiset palvelut</v>
      </c>
      <c r="G56" t="str">
        <f>IF(ISBLANK(Turvallinen_ja_toimintavarma!R59),"Otsikkorivi",Turvallinen_ja_toimintavarma!R59)</f>
        <v xml:space="preserve">4.3 Toimittajien kanssa on neuvoteltu jatkuvuudenhallinnasta. </v>
      </c>
      <c r="H56" t="str">
        <f>IF(Turvallinen_ja_toimintavarma!N59="x","Kyllä","Ei")</f>
        <v>Kyllä</v>
      </c>
      <c r="I56" t="str">
        <f>IF(ISBLANK(Turvallinen_ja_toimintavarma!S59),"",Turvallinen_ja_toimintavarma!S59)</f>
        <v/>
      </c>
      <c r="J56">
        <f>LV!$B$10</f>
        <v>0</v>
      </c>
      <c r="K56" t="str">
        <f>LV!$I$18</f>
        <v/>
      </c>
      <c r="L56" t="str">
        <f>IF(ISBLANK(Lähtötiedot!$O$18),"",Lähtötiedot!$O$18)</f>
        <v/>
      </c>
      <c r="M56" t="str">
        <f>IF(ISBLANK(Lähtötiedot!$O$16),"",Lähtötiedot!$O$16)</f>
        <v/>
      </c>
      <c r="N56" s="73" t="str">
        <f>IF(ISBLANK(Lähtötiedot!$O$15),"",Lähtötiedot!$O$15)</f>
        <v/>
      </c>
      <c r="O56" s="73"/>
    </row>
    <row r="57" spans="1:25" x14ac:dyDescent="0.25">
      <c r="A57" t="str">
        <f>Turvallinen_ja_toimintavarma!I60</f>
        <v>Ei kuulu</v>
      </c>
      <c r="B57" t="str">
        <f>Turvallinen_ja_toimintavarma!P60</f>
        <v/>
      </c>
      <c r="C57" s="74">
        <f>Turvallinen_ja_toimintavarma!A60</f>
        <v>3.4</v>
      </c>
      <c r="D57" t="str">
        <f>Turvallinen_ja_toimintavarma!C60</f>
        <v>A,B,C,D</v>
      </c>
      <c r="E57" t="str">
        <f>IF(ISBLANK(Turvallinen_ja_toimintavarma!K60),"_Otsikkorivi",Turvallinen_ja_toimintavarma!K60)</f>
        <v>Turvallinen ja toimintavarma</v>
      </c>
      <c r="F57" t="str">
        <f>Turvallinen_ja_toimintavarma!L60</f>
        <v>4. Kemikaalit, varaosat ja kriittiset palvelut</v>
      </c>
      <c r="G57" t="str">
        <f>IF(ISBLANK(Turvallinen_ja_toimintavarma!R60),"Otsikkorivi",Turvallinen_ja_toimintavarma!R60)</f>
        <v xml:space="preserve">4.4 Kriittisten materiaalien saanti on otettu huomioon sopimuksissa (esim. SOPIVA-sopimuslausekkeet). </v>
      </c>
      <c r="H57" t="str">
        <f>IF(Turvallinen_ja_toimintavarma!N60="x","Kyllä","Ei")</f>
        <v>Kyllä</v>
      </c>
      <c r="I57" t="str">
        <f>IF(ISBLANK(Turvallinen_ja_toimintavarma!S60),"",Turvallinen_ja_toimintavarma!S60)</f>
        <v/>
      </c>
      <c r="J57">
        <f>LV!$B$10</f>
        <v>0</v>
      </c>
      <c r="K57" t="str">
        <f>LV!$I$18</f>
        <v/>
      </c>
      <c r="L57" t="str">
        <f>IF(ISBLANK(Lähtötiedot!$O$18),"",Lähtötiedot!$O$18)</f>
        <v/>
      </c>
      <c r="M57" t="str">
        <f>IF(ISBLANK(Lähtötiedot!$O$16),"",Lähtötiedot!$O$16)</f>
        <v/>
      </c>
      <c r="N57" s="73" t="str">
        <f>IF(ISBLANK(Lähtötiedot!$O$15),"",Lähtötiedot!$O$15)</f>
        <v/>
      </c>
      <c r="O57" s="73"/>
    </row>
    <row r="58" spans="1:25" x14ac:dyDescent="0.25">
      <c r="A58" t="str">
        <f>Turvallinen_ja_toimintavarma!I61</f>
        <v>Ei kuulu</v>
      </c>
      <c r="B58" t="str">
        <f>Turvallinen_ja_toimintavarma!P61</f>
        <v/>
      </c>
      <c r="C58" s="74" t="str">
        <f>Turvallinen_ja_toimintavarma!A61</f>
        <v>1,2,3,4</v>
      </c>
      <c r="D58" t="str">
        <f>Turvallinen_ja_toimintavarma!C61</f>
        <v>A,B,C,D</v>
      </c>
      <c r="E58" t="str">
        <f>IF(ISBLANK(Turvallinen_ja_toimintavarma!K61),"_Otsikkorivi",Turvallinen_ja_toimintavarma!K61)</f>
        <v>Turvallinen ja toimintavarma</v>
      </c>
      <c r="F58" t="str">
        <f>Turvallinen_ja_toimintavarma!L61</f>
        <v>4. Kemikaalit, varaosat ja kriittiset palvelut</v>
      </c>
      <c r="G58" t="str">
        <f>IF(ISBLANK(Turvallinen_ja_toimintavarma!R61),"Otsikkorivi",Turvallinen_ja_toimintavarma!R61)</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58" t="str">
        <f>IF(Turvallinen_ja_toimintavarma!N61="x","Kyllä","Ei")</f>
        <v>Kyllä</v>
      </c>
      <c r="I58" t="str">
        <f>IF(ISBLANK(Turvallinen_ja_toimintavarma!S61),"",Turvallinen_ja_toimintavarma!S61)</f>
        <v/>
      </c>
      <c r="J58">
        <f>LV!$B$10</f>
        <v>0</v>
      </c>
      <c r="K58" t="str">
        <f>LV!$I$18</f>
        <v/>
      </c>
      <c r="L58" t="str">
        <f>IF(ISBLANK(Lähtötiedot!$O$18),"",Lähtötiedot!$O$18)</f>
        <v/>
      </c>
      <c r="M58" t="str">
        <f>IF(ISBLANK(Lähtötiedot!$O$16),"",Lähtötiedot!$O$16)</f>
        <v/>
      </c>
      <c r="N58" s="73" t="str">
        <f>IF(ISBLANK(Lähtötiedot!$O$15),"",Lähtötiedot!$O$15)</f>
        <v/>
      </c>
      <c r="O58" s="73"/>
    </row>
    <row r="59" spans="1:25" x14ac:dyDescent="0.25">
      <c r="A59" t="str">
        <f>Turvallinen_ja_toimintavarma!I62</f>
        <v>Ei kuulu</v>
      </c>
      <c r="B59" t="str">
        <f>Turvallinen_ja_toimintavarma!P62</f>
        <v/>
      </c>
      <c r="C59" s="74" t="str">
        <f>Turvallinen_ja_toimintavarma!A62</f>
        <v>1,2,3,4</v>
      </c>
      <c r="D59" t="str">
        <f>Turvallinen_ja_toimintavarma!C62</f>
        <v>A,B,C,D</v>
      </c>
      <c r="E59" t="str">
        <f>IF(ISBLANK(Turvallinen_ja_toimintavarma!K62),"_Otsikkorivi",Turvallinen_ja_toimintavarma!K62)</f>
        <v>Turvallinen ja toimintavarma</v>
      </c>
      <c r="F59" t="str">
        <f>Turvallinen_ja_toimintavarma!L62</f>
        <v>4. Kemikaalit, varaosat ja kriittiset palvelut</v>
      </c>
      <c r="G59" t="str">
        <f>IF(ISBLANK(Turvallinen_ja_toimintavarma!R62),"Otsikkorivi",Turvallinen_ja_toimintavarma!R62)</f>
        <v>4.6 Vesihuoltolaitoksen kriittiset palvelut (perustoiminnan ylläpitämisen edellyttämät jatkuvat palvelut, esim. logistiikka) on tunnistettu.</v>
      </c>
      <c r="H59" t="str">
        <f>IF(Turvallinen_ja_toimintavarma!N62="x","Kyllä","Ei")</f>
        <v>Kyllä</v>
      </c>
      <c r="I59" t="str">
        <f>IF(ISBLANK(Turvallinen_ja_toimintavarma!S62),"",Turvallinen_ja_toimintavarma!S62)</f>
        <v/>
      </c>
      <c r="J59">
        <f>LV!$B$10</f>
        <v>0</v>
      </c>
      <c r="K59" t="str">
        <f>LV!$I$18</f>
        <v/>
      </c>
      <c r="L59" t="str">
        <f>IF(ISBLANK(Lähtötiedot!$O$18),"",Lähtötiedot!$O$18)</f>
        <v/>
      </c>
      <c r="M59" t="str">
        <f>IF(ISBLANK(Lähtötiedot!$O$16),"",Lähtötiedot!$O$16)</f>
        <v/>
      </c>
      <c r="N59" s="73" t="str">
        <f>IF(ISBLANK(Lähtötiedot!$O$15),"",Lähtötiedot!$O$15)</f>
        <v/>
      </c>
      <c r="O59" s="73"/>
    </row>
    <row r="60" spans="1:25" x14ac:dyDescent="0.25">
      <c r="A60" t="str">
        <f>Turvallinen_ja_toimintavarma!I63</f>
        <v>Ei kuulu</v>
      </c>
      <c r="B60" t="str">
        <f>Turvallinen_ja_toimintavarma!P63</f>
        <v/>
      </c>
      <c r="C60" s="74" t="str">
        <f>Turvallinen_ja_toimintavarma!A63</f>
        <v>1,2,3,4</v>
      </c>
      <c r="D60" t="str">
        <f>Turvallinen_ja_toimintavarma!C63</f>
        <v>A,B,C,D</v>
      </c>
      <c r="E60" t="str">
        <f>IF(ISBLANK(Turvallinen_ja_toimintavarma!K63),"_Otsikkorivi",Turvallinen_ja_toimintavarma!K63)</f>
        <v>Turvallinen ja toimintavarma</v>
      </c>
      <c r="F60" t="str">
        <f>Turvallinen_ja_toimintavarma!L63</f>
        <v>4. Kemikaalit, varaosat ja kriittiset palvelut</v>
      </c>
      <c r="G60" t="str">
        <f>IF(ISBLANK(Turvallinen_ja_toimintavarma!R63),"Otsikkorivi",Turvallinen_ja_toimintavarma!R63)</f>
        <v>4.7 Vesihuoltolaitoksen kriittisten palveluiden riittävä saatavuus on määritetty ja varmistettu.</v>
      </c>
      <c r="H60" t="str">
        <f>IF(Turvallinen_ja_toimintavarma!N63="x","Kyllä","Ei")</f>
        <v>Kyllä</v>
      </c>
      <c r="I60" t="str">
        <f>IF(ISBLANK(Turvallinen_ja_toimintavarma!S63),"",Turvallinen_ja_toimintavarma!S63)</f>
        <v/>
      </c>
      <c r="J60">
        <f>LV!$B$10</f>
        <v>0</v>
      </c>
      <c r="K60" t="str">
        <f>LV!$I$18</f>
        <v/>
      </c>
      <c r="L60" t="str">
        <f>IF(ISBLANK(Lähtötiedot!$O$18),"",Lähtötiedot!$O$18)</f>
        <v/>
      </c>
      <c r="M60" t="str">
        <f>IF(ISBLANK(Lähtötiedot!$O$16),"",Lähtötiedot!$O$16)</f>
        <v/>
      </c>
      <c r="N60" s="73" t="str">
        <f>IF(ISBLANK(Lähtötiedot!$O$15),"",Lähtötiedot!$O$15)</f>
        <v/>
      </c>
      <c r="O60" s="73"/>
    </row>
    <row r="61" spans="1:25" x14ac:dyDescent="0.25">
      <c r="A61" t="str">
        <f>Turvallinen_ja_toimintavarma!I64</f>
        <v>Ei kuulu</v>
      </c>
      <c r="B61" t="str">
        <f>Turvallinen_ja_toimintavarma!P64</f>
        <v/>
      </c>
      <c r="C61" s="74" t="str">
        <f>Turvallinen_ja_toimintavarma!A64</f>
        <v>2,3,4</v>
      </c>
      <c r="D61" t="str">
        <f>Turvallinen_ja_toimintavarma!C64</f>
        <v>A,B,C,D</v>
      </c>
      <c r="E61" t="str">
        <f>IF(ISBLANK(Turvallinen_ja_toimintavarma!K64),"_Otsikkorivi",Turvallinen_ja_toimintavarma!K64)</f>
        <v>Turvallinen ja toimintavarma</v>
      </c>
      <c r="F61" t="str">
        <f>Turvallinen_ja_toimintavarma!L64</f>
        <v>4. Kemikaalit, varaosat ja kriittiset palvelut</v>
      </c>
      <c r="G61" t="str">
        <f>IF(ISBLANK(Turvallinen_ja_toimintavarma!R64),"Otsikkorivi",Turvallinen_ja_toimintavarma!R64)</f>
        <v>4.8 Palvelutarjoajien kanssa on neuvoteltu jatkuvuudenhallinnasta. (esim. VAP-varaukset)</v>
      </c>
      <c r="H61" t="str">
        <f>IF(Turvallinen_ja_toimintavarma!N64="x","Kyllä","Ei")</f>
        <v>Kyllä</v>
      </c>
      <c r="I61" t="str">
        <f>IF(ISBLANK(Turvallinen_ja_toimintavarma!S64),"",Turvallinen_ja_toimintavarma!S64)</f>
        <v/>
      </c>
      <c r="J61">
        <f>LV!$B$10</f>
        <v>0</v>
      </c>
      <c r="K61" t="str">
        <f>LV!$I$18</f>
        <v/>
      </c>
      <c r="L61" t="str">
        <f>IF(ISBLANK(Lähtötiedot!$O$18),"",Lähtötiedot!$O$18)</f>
        <v/>
      </c>
      <c r="M61" t="str">
        <f>IF(ISBLANK(Lähtötiedot!$O$16),"",Lähtötiedot!$O$16)</f>
        <v/>
      </c>
      <c r="N61" s="73" t="str">
        <f>IF(ISBLANK(Lähtötiedot!$O$15),"",Lähtötiedot!$O$15)</f>
        <v/>
      </c>
      <c r="O61" s="73"/>
    </row>
    <row r="62" spans="1:25" x14ac:dyDescent="0.25">
      <c r="A62" t="str">
        <f>Turvallinen_ja_toimintavarma!I65</f>
        <v>Ei kuulu</v>
      </c>
      <c r="B62" t="str">
        <f>Turvallinen_ja_toimintavarma!P65</f>
        <v/>
      </c>
      <c r="C62" s="74">
        <f>Turvallinen_ja_toimintavarma!A65</f>
        <v>3.4</v>
      </c>
      <c r="D62" t="str">
        <f>Turvallinen_ja_toimintavarma!C65</f>
        <v>A,B,C,D</v>
      </c>
      <c r="E62" t="str">
        <f>IF(ISBLANK(Turvallinen_ja_toimintavarma!K65),"_Otsikkorivi",Turvallinen_ja_toimintavarma!K65)</f>
        <v>Turvallinen ja toimintavarma</v>
      </c>
      <c r="F62" t="str">
        <f>Turvallinen_ja_toimintavarma!L65</f>
        <v>4. Kemikaalit, varaosat ja kriittiset palvelut</v>
      </c>
      <c r="G62" t="str">
        <f>IF(ISBLANK(Turvallinen_ja_toimintavarma!R65),"Otsikkorivi",Turvallinen_ja_toimintavarma!R65)</f>
        <v>4.9 Kriittisten palvelujen saanti on otettu huomioon sopimuksissa (esim. SOPIVA-sopimuslausekkeet).</v>
      </c>
      <c r="H62" t="str">
        <f>IF(Turvallinen_ja_toimintavarma!N65="x","Kyllä","Ei")</f>
        <v>Kyllä</v>
      </c>
      <c r="I62" t="str">
        <f>IF(ISBLANK(Turvallinen_ja_toimintavarma!S65),"",Turvallinen_ja_toimintavarma!S65)</f>
        <v/>
      </c>
      <c r="J62">
        <f>LV!$B$10</f>
        <v>0</v>
      </c>
      <c r="K62" t="str">
        <f>LV!$I$18</f>
        <v/>
      </c>
      <c r="L62" t="str">
        <f>IF(ISBLANK(Lähtötiedot!$O$18),"",Lähtötiedot!$O$18)</f>
        <v/>
      </c>
      <c r="M62" t="str">
        <f>IF(ISBLANK(Lähtötiedot!$O$16),"",Lähtötiedot!$O$16)</f>
        <v/>
      </c>
      <c r="N62" s="73" t="str">
        <f>IF(ISBLANK(Lähtötiedot!$O$15),"",Lähtötiedot!$O$15)</f>
        <v/>
      </c>
      <c r="O62" s="73"/>
    </row>
    <row r="63" spans="1:25" hidden="1" x14ac:dyDescent="0.25">
      <c r="A63" t="str">
        <f>Kustannustehokas_ja_organisoitu!I5</f>
        <v>Ei kuulu</v>
      </c>
      <c r="B63" t="str">
        <f>Kustannustehokas_ja_organisoitu!P5</f>
        <v/>
      </c>
      <c r="C63" s="74" t="str">
        <f>Kustannustehokas_ja_organisoitu!A5</f>
        <v xml:space="preserve">1,2,3,4 </v>
      </c>
      <c r="D63" t="str">
        <f>Kustannustehokas_ja_organisoitu!C5</f>
        <v>A,B,C,D</v>
      </c>
      <c r="E63" t="str">
        <f>IF(ISBLANK(Kustannustehokas_ja_organisoitu!K5),"_Otsikkorivi",Kustannustehokas_ja_organisoitu!K5)</f>
        <v>Kustannustehokas ja organisoitu</v>
      </c>
      <c r="F63" t="str">
        <f>Kustannustehokas_ja_organisoitu!L5</f>
        <v>_Otsikkorivi</v>
      </c>
      <c r="G63" t="str">
        <f>IF(ISBLANK(Kustannustehokas_ja_organisoitu!R5),"Otsikkorivi",Kustannustehokas_ja_organisoitu!R5)</f>
        <v>5. Laitoksella on riittävät henkilöstöresurssit ja ammattitaitoinen henkilökunta, ja varallaolo on suunniteltu</v>
      </c>
      <c r="H63" t="str">
        <f>IF(Kustannustehokas_ja_organisoitu!N5="x","Kyllä","Ei")</f>
        <v>Ei</v>
      </c>
      <c r="I63" t="str">
        <f>IF(ISBLANK(Kustannustehokas_ja_organisoitu!S5),"",Kustannustehokas_ja_organisoitu!S5)</f>
        <v/>
      </c>
      <c r="J63">
        <f>LV!$B$10</f>
        <v>0</v>
      </c>
      <c r="K63" t="str">
        <f>LV!$I$18</f>
        <v/>
      </c>
      <c r="L63" t="str">
        <f>IF(ISBLANK(Lähtötiedot!$O$18),"",Lähtötiedot!$O$18)</f>
        <v/>
      </c>
      <c r="M63" t="str">
        <f>IF(ISBLANK(Lähtötiedot!$O$16),"",Lähtötiedot!$O$16)</f>
        <v/>
      </c>
      <c r="N63" s="73" t="str">
        <f>IF(ISBLANK(Lähtötiedot!$O$15),"",Lähtötiedot!$O$15)</f>
        <v/>
      </c>
      <c r="O63" s="73"/>
    </row>
    <row r="64" spans="1:25" x14ac:dyDescent="0.25">
      <c r="A64" t="str">
        <f>Kustannustehokas_ja_organisoitu!I6</f>
        <v>Ei kuulu</v>
      </c>
      <c r="B64" t="str">
        <f>Kustannustehokas_ja_organisoitu!P6</f>
        <v/>
      </c>
      <c r="C64" s="74" t="str">
        <f>Kustannustehokas_ja_organisoitu!A6</f>
        <v>1,2,3,4</v>
      </c>
      <c r="D64" t="str">
        <f>Kustannustehokas_ja_organisoitu!C6</f>
        <v>A,B,C,D</v>
      </c>
      <c r="E64" t="str">
        <f>IF(ISBLANK(Kustannustehokas_ja_organisoitu!K6),"_Otsikkorivi",Kustannustehokas_ja_organisoitu!K6)</f>
        <v>Kustannustehokas ja organisoitu</v>
      </c>
      <c r="F64" t="str">
        <f>Kustannustehokas_ja_organisoitu!L6</f>
        <v>5. Laitoksella on riittävät henkilöstöresurssit ja ammattitaitoinen henkilökunta, ja varallaolo on suunniteltu</v>
      </c>
      <c r="G64" t="str">
        <f>IF(ISBLANK(Kustannustehokas_ja_organisoitu!R6),"Otsikkorivi",Kustannustehokas_ja_organisoitu!R6)</f>
        <v>5.1 Henkilöstöllä on mahdollisuus kouluttautua ja työnantaja järjestää koulutusta havaitun tarpeen mukaan säännöllisesti.</v>
      </c>
      <c r="H64" t="str">
        <f>IF(Kustannustehokas_ja_organisoitu!N6="x","Kyllä","Ei")</f>
        <v>Ei</v>
      </c>
      <c r="I64" t="str">
        <f>IF(ISBLANK(Kustannustehokas_ja_organisoitu!S6),"",Kustannustehokas_ja_organisoitu!S6)</f>
        <v/>
      </c>
      <c r="J64">
        <f>LV!$B$10</f>
        <v>0</v>
      </c>
      <c r="K64" t="str">
        <f>LV!$I$18</f>
        <v/>
      </c>
      <c r="L64" t="str">
        <f>IF(ISBLANK(Lähtötiedot!$O$18),"",Lähtötiedot!$O$18)</f>
        <v/>
      </c>
      <c r="M64" t="str">
        <f>IF(ISBLANK(Lähtötiedot!$O$16),"",Lähtötiedot!$O$16)</f>
        <v/>
      </c>
      <c r="N64" s="73" t="str">
        <f>IF(ISBLANK(Lähtötiedot!$O$15),"",Lähtötiedot!$O$15)</f>
        <v/>
      </c>
      <c r="O64" s="73"/>
    </row>
    <row r="65" spans="1:15" x14ac:dyDescent="0.25">
      <c r="A65" t="str">
        <f>Kustannustehokas_ja_organisoitu!I7</f>
        <v>Ei kuulu</v>
      </c>
      <c r="B65" t="str">
        <f>Kustannustehokas_ja_organisoitu!P7</f>
        <v/>
      </c>
      <c r="C65" s="74" t="str">
        <f>Kustannustehokas_ja_organisoitu!A7</f>
        <v>1,2,3,4</v>
      </c>
      <c r="D65" t="str">
        <f>Kustannustehokas_ja_organisoitu!C7</f>
        <v>A,B,C,D</v>
      </c>
      <c r="E65" t="str">
        <f>IF(ISBLANK(Kustannustehokas_ja_organisoitu!K7),"_Otsikkorivi",Kustannustehokas_ja_organisoitu!K7)</f>
        <v>Kustannustehokas ja organisoitu</v>
      </c>
      <c r="F65" t="str">
        <f>Kustannustehokas_ja_organisoitu!L7</f>
        <v>5. Laitoksella on riittävät henkilöstöresurssit ja ammattitaitoinen henkilökunta, ja varallaolo on suunniteltu</v>
      </c>
      <c r="G65" t="str">
        <f>IF(ISBLANK(Kustannustehokas_ja_organisoitu!R7),"Otsikkorivi",Kustannustehokas_ja_organisoitu!R7)</f>
        <v>5.2 Vesihuoltolaitoksella on varallaolojärjestelmä, joka turvaa laitoksen operatiivisen toiminnan 24/7. Työajan ulkopuolisen ajan johtamisjärjestelyt on sovittu ja ohjeistettu. Hälytysyhteystieto on olemassa.</v>
      </c>
      <c r="H65" t="str">
        <f>IF(Kustannustehokas_ja_organisoitu!N7="x","Kyllä","Ei")</f>
        <v>Kyllä</v>
      </c>
      <c r="I65" t="str">
        <f>IF(ISBLANK(Kustannustehokas_ja_organisoitu!S7),"",Kustannustehokas_ja_organisoitu!S7)</f>
        <v/>
      </c>
      <c r="J65">
        <f>LV!$B$10</f>
        <v>0</v>
      </c>
      <c r="K65" t="str">
        <f>LV!$I$18</f>
        <v/>
      </c>
      <c r="L65" t="str">
        <f>IF(ISBLANK(Lähtötiedot!$O$18),"",Lähtötiedot!$O$18)</f>
        <v/>
      </c>
      <c r="M65" t="str">
        <f>IF(ISBLANK(Lähtötiedot!$O$16),"",Lähtötiedot!$O$16)</f>
        <v/>
      </c>
      <c r="N65" s="73" t="str">
        <f>IF(ISBLANK(Lähtötiedot!$O$15),"",Lähtötiedot!$O$15)</f>
        <v/>
      </c>
      <c r="O65" s="73"/>
    </row>
    <row r="66" spans="1:15" x14ac:dyDescent="0.25">
      <c r="A66" t="str">
        <f>Kustannustehokas_ja_organisoitu!I8</f>
        <v>Ei kuulu</v>
      </c>
      <c r="B66" t="str">
        <f>Kustannustehokas_ja_organisoitu!P8</f>
        <v/>
      </c>
      <c r="C66" s="74" t="str">
        <f>Kustannustehokas_ja_organisoitu!A8</f>
        <v>1,2,3,4</v>
      </c>
      <c r="D66" t="str">
        <f>Kustannustehokas_ja_organisoitu!C8</f>
        <v>A,B,C,D</v>
      </c>
      <c r="E66" t="str">
        <f>IF(ISBLANK(Kustannustehokas_ja_organisoitu!K8),"_Otsikkorivi",Kustannustehokas_ja_organisoitu!K8)</f>
        <v>Kustannustehokas ja organisoitu</v>
      </c>
      <c r="F66" t="str">
        <f>Kustannustehokas_ja_organisoitu!L8</f>
        <v>5. Laitoksella on riittävät henkilöstöresurssit ja ammattitaitoinen henkilökunta, ja varallaolo on suunniteltu</v>
      </c>
      <c r="G66" t="str">
        <f>IF(ISBLANK(Kustannustehokas_ja_organisoitu!R8),"Otsikkorivi",Kustannustehokas_ja_organisoitu!R8)</f>
        <v>5.3 Henkilökunta pystyy huolehtimaan kaikista operatiiviseen toimintaan liittyvistä kriittisistä toiminnoista itsenäisesti. TAI Vesihuoltolaitoksella on palvelusopimukset kriittisten toimintojen osalta.</v>
      </c>
      <c r="H66" t="str">
        <f>IF(Kustannustehokas_ja_organisoitu!N8="x","Kyllä","Ei")</f>
        <v>Kyllä</v>
      </c>
      <c r="I66" t="str">
        <f>IF(ISBLANK(Kustannustehokas_ja_organisoitu!S8),"",Kustannustehokas_ja_organisoitu!S8)</f>
        <v/>
      </c>
      <c r="J66">
        <f>LV!$B$10</f>
        <v>0</v>
      </c>
      <c r="K66" t="str">
        <f>LV!$I$18</f>
        <v/>
      </c>
      <c r="L66" t="str">
        <f>IF(ISBLANK(Lähtötiedot!$O$18),"",Lähtötiedot!$O$18)</f>
        <v/>
      </c>
      <c r="M66" t="str">
        <f>IF(ISBLANK(Lähtötiedot!$O$16),"",Lähtötiedot!$O$16)</f>
        <v/>
      </c>
      <c r="N66" s="73" t="str">
        <f>IF(ISBLANK(Lähtötiedot!$O$15),"",Lähtötiedot!$O$15)</f>
        <v/>
      </c>
      <c r="O66" s="73"/>
    </row>
    <row r="67" spans="1:15" x14ac:dyDescent="0.25">
      <c r="A67" t="str">
        <f>Kustannustehokas_ja_organisoitu!I9</f>
        <v>Ei kuulu</v>
      </c>
      <c r="B67" t="str">
        <f>Kustannustehokas_ja_organisoitu!P9</f>
        <v/>
      </c>
      <c r="C67" s="74" t="str">
        <f>Kustannustehokas_ja_organisoitu!A9</f>
        <v>1,2,3,4</v>
      </c>
      <c r="D67" t="str">
        <f>Kustannustehokas_ja_organisoitu!C9</f>
        <v>A,B,C,D</v>
      </c>
      <c r="E67" t="str">
        <f>IF(ISBLANK(Kustannustehokas_ja_organisoitu!K9),"_Otsikkorivi",Kustannustehokas_ja_organisoitu!K9)</f>
        <v>Kustannustehokas ja organisoitu</v>
      </c>
      <c r="F67" t="str">
        <f>Kustannustehokas_ja_organisoitu!L9</f>
        <v>5. Laitoksella on riittävät henkilöstöresurssit ja ammattitaitoinen henkilökunta, ja varallaolo on suunniteltu</v>
      </c>
      <c r="G67" t="str">
        <f>IF(ISBLANK(Kustannustehokas_ja_organisoitu!R9),"Otsikkorivi",Kustannustehokas_ja_organisoitu!R9)</f>
        <v xml:space="preserve">5.4 Henkilöstölle on laadittu laitoksen omat osaamistasovaatimukset. Osaamistasomäärityksessä voidaan hyödyntää esim. Vesihuoltolaitosten osaamiskriteerit -hankkeen osaamiskartoitustyökalua. </v>
      </c>
      <c r="H67" t="str">
        <f>IF(Kustannustehokas_ja_organisoitu!N9="x","Kyllä","Ei")</f>
        <v>Kyllä</v>
      </c>
      <c r="I67" t="str">
        <f>IF(ISBLANK(Kustannustehokas_ja_organisoitu!S9),"",Kustannustehokas_ja_organisoitu!S9)</f>
        <v/>
      </c>
      <c r="J67">
        <f>LV!$B$10</f>
        <v>0</v>
      </c>
      <c r="K67" t="str">
        <f>LV!$I$18</f>
        <v/>
      </c>
      <c r="L67" t="str">
        <f>IF(ISBLANK(Lähtötiedot!$O$18),"",Lähtötiedot!$O$18)</f>
        <v/>
      </c>
      <c r="M67" t="str">
        <f>IF(ISBLANK(Lähtötiedot!$O$16),"",Lähtötiedot!$O$16)</f>
        <v/>
      </c>
      <c r="N67" s="73" t="str">
        <f>IF(ISBLANK(Lähtötiedot!$O$15),"",Lähtötiedot!$O$15)</f>
        <v/>
      </c>
      <c r="O67" s="73"/>
    </row>
    <row r="68" spans="1:15" x14ac:dyDescent="0.25">
      <c r="A68" t="str">
        <f>Kustannustehokas_ja_organisoitu!I10</f>
        <v>Ei kuulu</v>
      </c>
      <c r="B68" t="str">
        <f>Kustannustehokas_ja_organisoitu!P10</f>
        <v/>
      </c>
      <c r="C68" s="74" t="str">
        <f>Kustannustehokas_ja_organisoitu!A10</f>
        <v>1,2,3,4</v>
      </c>
      <c r="D68" t="str">
        <f>Kustannustehokas_ja_organisoitu!C10</f>
        <v>A,B,C,D</v>
      </c>
      <c r="E68" t="str">
        <f>IF(ISBLANK(Kustannustehokas_ja_organisoitu!K10),"_Otsikkorivi",Kustannustehokas_ja_organisoitu!K10)</f>
        <v>Kustannustehokas ja organisoitu</v>
      </c>
      <c r="F68" t="str">
        <f>Kustannustehokas_ja_organisoitu!L10</f>
        <v>5. Laitoksella on riittävät henkilöstöresurssit ja ammattitaitoinen henkilökunta, ja varallaolo on suunniteltu</v>
      </c>
      <c r="G68" t="str">
        <f>IF(ISBLANK(Kustannustehokas_ja_organisoitu!R10),"Otsikkorivi",Kustannustehokas_ja_organisoitu!R10)</f>
        <v>5.5 Avainhenkilöt eli perustoiminnon ylläpitämisessä kriittiset henkilöt on tunnistettu ja nimetty. Avainhenkilöille on nimetty varahenkilöt, jotka on perehdytetty työnkuvaan.</v>
      </c>
      <c r="H68" t="str">
        <f>IF(Kustannustehokas_ja_organisoitu!N10="x","Kyllä","Ei")</f>
        <v>Kyllä</v>
      </c>
      <c r="I68" t="str">
        <f>IF(ISBLANK(Kustannustehokas_ja_organisoitu!S10),"",Kustannustehokas_ja_organisoitu!S10)</f>
        <v/>
      </c>
      <c r="J68">
        <f>LV!$B$10</f>
        <v>0</v>
      </c>
      <c r="K68" t="str">
        <f>LV!$I$18</f>
        <v/>
      </c>
      <c r="L68" t="str">
        <f>IF(ISBLANK(Lähtötiedot!$O$18),"",Lähtötiedot!$O$18)</f>
        <v/>
      </c>
      <c r="M68" t="str">
        <f>IF(ISBLANK(Lähtötiedot!$O$16),"",Lähtötiedot!$O$16)</f>
        <v/>
      </c>
      <c r="N68" s="73" t="str">
        <f>IF(ISBLANK(Lähtötiedot!$O$15),"",Lähtötiedot!$O$15)</f>
        <v/>
      </c>
      <c r="O68" s="73"/>
    </row>
    <row r="69" spans="1:15" x14ac:dyDescent="0.25">
      <c r="A69" t="str">
        <f>Kustannustehokas_ja_organisoitu!I11</f>
        <v>Ei kuulu</v>
      </c>
      <c r="B69" t="str">
        <f>Kustannustehokas_ja_organisoitu!P11</f>
        <v/>
      </c>
      <c r="C69" s="74">
        <f>Kustannustehokas_ja_organisoitu!A11</f>
        <v>4</v>
      </c>
      <c r="D69" t="str">
        <f>Kustannustehokas_ja_organisoitu!C11</f>
        <v>A,B,C,D</v>
      </c>
      <c r="E69" t="str">
        <f>IF(ISBLANK(Kustannustehokas_ja_organisoitu!K11),"_Otsikkorivi",Kustannustehokas_ja_organisoitu!K11)</f>
        <v>Kustannustehokas ja organisoitu</v>
      </c>
      <c r="F69" t="str">
        <f>Kustannustehokas_ja_organisoitu!L11</f>
        <v>5. Laitoksella on riittävät henkilöstöresurssit ja ammattitaitoinen henkilökunta, ja varallaolo on suunniteltu</v>
      </c>
      <c r="G69" t="str">
        <f>IF(ISBLANK(Kustannustehokas_ja_organisoitu!R11),"Otsikkorivi",Kustannustehokas_ja_organisoitu!R11)</f>
        <v>5.6 Vesihuoltolaitoksella on henkilökuntaa riittävästi, jotta omat tai ostopalvelut pystytään hoitamaan ennalta laaditun aikataulun mukaisesti (materiaalit, suunnittelu, rakentaminen, kunnossapito) ja hankkeita ei tarvitse viivyttää henkilöresurssien takia.</v>
      </c>
      <c r="H69" t="str">
        <f>IF(Kustannustehokas_ja_organisoitu!N11="x","Kyllä","Ei")</f>
        <v>Ei</v>
      </c>
      <c r="I69" t="str">
        <f>IF(ISBLANK(Kustannustehokas_ja_organisoitu!S11),"",Kustannustehokas_ja_organisoitu!S11)</f>
        <v/>
      </c>
      <c r="J69">
        <f>LV!$B$10</f>
        <v>0</v>
      </c>
      <c r="K69" t="str">
        <f>LV!$I$18</f>
        <v/>
      </c>
      <c r="L69" t="str">
        <f>IF(ISBLANK(Lähtötiedot!$O$18),"",Lähtötiedot!$O$18)</f>
        <v/>
      </c>
      <c r="M69" t="str">
        <f>IF(ISBLANK(Lähtötiedot!$O$16),"",Lähtötiedot!$O$16)</f>
        <v/>
      </c>
      <c r="N69" s="73" t="str">
        <f>IF(ISBLANK(Lähtötiedot!$O$15),"",Lähtötiedot!$O$15)</f>
        <v/>
      </c>
      <c r="O69" s="73"/>
    </row>
    <row r="70" spans="1:15" hidden="1" x14ac:dyDescent="0.25">
      <c r="A70" t="str">
        <f>Kustannustehokas_ja_organisoitu!I12</f>
        <v>Ei kuulu</v>
      </c>
      <c r="B70" t="str">
        <f>Kustannustehokas_ja_organisoitu!P12</f>
        <v/>
      </c>
      <c r="C70" s="74" t="str">
        <f>Kustannustehokas_ja_organisoitu!A12</f>
        <v xml:space="preserve">1,2,3,4 </v>
      </c>
      <c r="D70" t="str">
        <f>Kustannustehokas_ja_organisoitu!C12</f>
        <v>A,B,C,D</v>
      </c>
      <c r="E70" t="str">
        <f>IF(ISBLANK(Kustannustehokas_ja_organisoitu!K12),"_Otsikkorivi",Kustannustehokas_ja_organisoitu!K12)</f>
        <v>Kustannustehokas ja organisoitu</v>
      </c>
      <c r="F70" t="str">
        <f>Kustannustehokas_ja_organisoitu!L12</f>
        <v>_Otsikkorivi</v>
      </c>
      <c r="G70" t="str">
        <f>IF(ISBLANK(Kustannustehokas_ja_organisoitu!R12),"Otsikkorivi",Kustannustehokas_ja_organisoitu!R12)</f>
        <v>6. Omaisuuden hallinta, operointi ja kunnossapito on suunnitelmallista</v>
      </c>
      <c r="H70" t="str">
        <f>IF(Kustannustehokas_ja_organisoitu!N12="x","Kyllä","Ei")</f>
        <v>Ei</v>
      </c>
      <c r="I70" t="str">
        <f>IF(ISBLANK(Kustannustehokas_ja_organisoitu!S12),"",Kustannustehokas_ja_organisoitu!S12)</f>
        <v/>
      </c>
      <c r="J70">
        <f>LV!$B$10</f>
        <v>0</v>
      </c>
      <c r="K70" t="str">
        <f>LV!$I$18</f>
        <v/>
      </c>
      <c r="L70" t="str">
        <f>IF(ISBLANK(Lähtötiedot!$O$18),"",Lähtötiedot!$O$18)</f>
        <v/>
      </c>
      <c r="M70" t="str">
        <f>IF(ISBLANK(Lähtötiedot!$O$16),"",Lähtötiedot!$O$16)</f>
        <v/>
      </c>
      <c r="N70" s="73" t="str">
        <f>IF(ISBLANK(Lähtötiedot!$O$15),"",Lähtötiedot!$O$15)</f>
        <v/>
      </c>
      <c r="O70" s="73"/>
    </row>
    <row r="71" spans="1:15" x14ac:dyDescent="0.25">
      <c r="A71" t="str">
        <f>Kustannustehokas_ja_organisoitu!I13</f>
        <v>Ei kuulu</v>
      </c>
      <c r="B71" t="str">
        <f>Kustannustehokas_ja_organisoitu!P13</f>
        <v/>
      </c>
      <c r="C71" s="74">
        <f>Kustannustehokas_ja_organisoitu!A13</f>
        <v>1.2</v>
      </c>
      <c r="D71" t="str">
        <f>Kustannustehokas_ja_organisoitu!C13</f>
        <v>A,B,C,D</v>
      </c>
      <c r="E71" t="str">
        <f>IF(ISBLANK(Kustannustehokas_ja_organisoitu!K13),"_Otsikkorivi",Kustannustehokas_ja_organisoitu!K13)</f>
        <v>Kustannustehokas ja organisoitu</v>
      </c>
      <c r="F71" t="str">
        <f>Kustannustehokas_ja_organisoitu!L13</f>
        <v>6. Omaisuuden hallinta, operointi ja kunnossapito on suunnitelmallista</v>
      </c>
      <c r="G71" t="str">
        <f>IF(ISBLANK(Kustannustehokas_ja_organisoitu!R13),"Otsikkorivi",Kustannustehokas_ja_organisoitu!R13)</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1" t="str">
        <f>IF(Kustannustehokas_ja_organisoitu!N13="x","Kyllä","Ei")</f>
        <v>Ei</v>
      </c>
      <c r="I71" t="str">
        <f>IF(ISBLANK(Kustannustehokas_ja_organisoitu!S13),"",Kustannustehokas_ja_organisoitu!S13)</f>
        <v/>
      </c>
      <c r="J71">
        <f>LV!$B$10</f>
        <v>0</v>
      </c>
      <c r="K71" t="str">
        <f>LV!$I$18</f>
        <v/>
      </c>
      <c r="L71" t="str">
        <f>IF(ISBLANK(Lähtötiedot!$O$18),"",Lähtötiedot!$O$18)</f>
        <v/>
      </c>
      <c r="M71" t="str">
        <f>IF(ISBLANK(Lähtötiedot!$O$16),"",Lähtötiedot!$O$16)</f>
        <v/>
      </c>
      <c r="N71" s="73" t="str">
        <f>IF(ISBLANK(Lähtötiedot!$O$15),"",Lähtötiedot!$O$15)</f>
        <v/>
      </c>
      <c r="O71" s="73"/>
    </row>
    <row r="72" spans="1:15" x14ac:dyDescent="0.25">
      <c r="A72" t="str">
        <f>Kustannustehokas_ja_organisoitu!I14</f>
        <v>Ei kuulu</v>
      </c>
      <c r="B72" t="str">
        <f>Kustannustehokas_ja_organisoitu!P14</f>
        <v/>
      </c>
      <c r="C72" s="74">
        <f>Kustannustehokas_ja_organisoitu!A14</f>
        <v>3.4</v>
      </c>
      <c r="D72" t="str">
        <f>Kustannustehokas_ja_organisoitu!C14</f>
        <v>A,B,C,D</v>
      </c>
      <c r="E72" t="str">
        <f>IF(ISBLANK(Kustannustehokas_ja_organisoitu!K14),"_Otsikkorivi",Kustannustehokas_ja_organisoitu!K14)</f>
        <v>Kustannustehokas ja organisoitu</v>
      </c>
      <c r="F72" t="str">
        <f>Kustannustehokas_ja_organisoitu!L14</f>
        <v>6. Omaisuuden hallinta, operointi ja kunnossapito on suunnitelmallista</v>
      </c>
      <c r="G72" t="str">
        <f>IF(ISBLANK(Kustannustehokas_ja_organisoitu!R14),"Otsikkorivi",Kustannustehokas_ja_organisoitu!R14)</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2" t="str">
        <f>IF(Kustannustehokas_ja_organisoitu!N14="x","Kyllä","Ei")</f>
        <v>Ei</v>
      </c>
      <c r="I72" t="str">
        <f>IF(ISBLANK(Kustannustehokas_ja_organisoitu!S14),"",Kustannustehokas_ja_organisoitu!S14)</f>
        <v/>
      </c>
      <c r="J72">
        <f>LV!$B$10</f>
        <v>0</v>
      </c>
      <c r="K72" t="str">
        <f>LV!$I$18</f>
        <v/>
      </c>
      <c r="L72" t="str">
        <f>IF(ISBLANK(Lähtötiedot!$O$18),"",Lähtötiedot!$O$18)</f>
        <v/>
      </c>
      <c r="M72" t="str">
        <f>IF(ISBLANK(Lähtötiedot!$O$16),"",Lähtötiedot!$O$16)</f>
        <v/>
      </c>
      <c r="N72" s="73" t="str">
        <f>IF(ISBLANK(Lähtötiedot!$O$15),"",Lähtötiedot!$O$15)</f>
        <v/>
      </c>
      <c r="O72" s="73"/>
    </row>
    <row r="73" spans="1:15" x14ac:dyDescent="0.25">
      <c r="A73" t="str">
        <f>Kustannustehokas_ja_organisoitu!I15</f>
        <v>Ei kuulu</v>
      </c>
      <c r="B73" t="str">
        <f>Kustannustehokas_ja_organisoitu!P15</f>
        <v/>
      </c>
      <c r="C73" s="74">
        <f>Kustannustehokas_ja_organisoitu!A15</f>
        <v>1.2</v>
      </c>
      <c r="D73" t="str">
        <f>Kustannustehokas_ja_organisoitu!C15</f>
        <v>A,B,C,D</v>
      </c>
      <c r="E73" t="str">
        <f>IF(ISBLANK(Kustannustehokas_ja_organisoitu!K15),"_Otsikkorivi",Kustannustehokas_ja_organisoitu!K15)</f>
        <v>Kustannustehokas ja organisoitu</v>
      </c>
      <c r="F73" t="str">
        <f>Kustannustehokas_ja_organisoitu!L15</f>
        <v>6. Omaisuuden hallinta, operointi ja kunnossapito on suunnitelmallista</v>
      </c>
      <c r="G73" t="str">
        <f>IF(ISBLANK(Kustannustehokas_ja_organisoitu!R15),"Otsikkorivi",Kustannustehokas_ja_organisoitu!R15)</f>
        <v>6.2 Vesihuoltolaitoksen laitosten ja verkostojen automaatiojärjestelmistä kerätään luotettavaa tietoa sähköiseen muotoon.</v>
      </c>
      <c r="H73" t="str">
        <f>IF(Kustannustehokas_ja_organisoitu!N15="x","Kyllä","Ei")</f>
        <v>Ei</v>
      </c>
      <c r="I73" t="str">
        <f>IF(ISBLANK(Kustannustehokas_ja_organisoitu!S15),"",Kustannustehokas_ja_organisoitu!S15)</f>
        <v/>
      </c>
      <c r="J73">
        <f>LV!$B$10</f>
        <v>0</v>
      </c>
      <c r="K73" t="str">
        <f>LV!$I$18</f>
        <v/>
      </c>
      <c r="L73" t="str">
        <f>IF(ISBLANK(Lähtötiedot!$O$18),"",Lähtötiedot!$O$18)</f>
        <v/>
      </c>
      <c r="M73" t="str">
        <f>IF(ISBLANK(Lähtötiedot!$O$16),"",Lähtötiedot!$O$16)</f>
        <v/>
      </c>
      <c r="N73" s="73" t="str">
        <f>IF(ISBLANK(Lähtötiedot!$O$15),"",Lähtötiedot!$O$15)</f>
        <v/>
      </c>
      <c r="O73" s="73"/>
    </row>
    <row r="74" spans="1:15" x14ac:dyDescent="0.25">
      <c r="A74" t="str">
        <f>Kustannustehokas_ja_organisoitu!I16</f>
        <v>Ei kuulu</v>
      </c>
      <c r="B74" t="str">
        <f>Kustannustehokas_ja_organisoitu!P16</f>
        <v/>
      </c>
      <c r="C74" s="74">
        <f>Kustannustehokas_ja_organisoitu!A16</f>
        <v>3.4</v>
      </c>
      <c r="D74" t="str">
        <f>Kustannustehokas_ja_organisoitu!C16</f>
        <v>A,B,C,D</v>
      </c>
      <c r="E74" t="str">
        <f>IF(ISBLANK(Kustannustehokas_ja_organisoitu!K16),"_Otsikkorivi",Kustannustehokas_ja_organisoitu!K16)</f>
        <v>Kustannustehokas ja organisoitu</v>
      </c>
      <c r="F74" t="str">
        <f>Kustannustehokas_ja_organisoitu!L16</f>
        <v>6. Omaisuuden hallinta, operointi ja kunnossapito on suunnitelmallista</v>
      </c>
      <c r="G74" t="str">
        <f>IF(ISBLANK(Kustannustehokas_ja_organisoitu!R16),"Otsikkorivi",Kustannustehokas_ja_organisoitu!R16)</f>
        <v>6.2 Vesihuoltolaitoksen laitoksen ja verkostojen automaatiojärjestelmistä saadaan ja kerätään jatkuvaa, ajantasaista ja luotettavaa tietoa sähköiseen muotoon.</v>
      </c>
      <c r="H74" t="str">
        <f>IF(Kustannustehokas_ja_organisoitu!N16="x","Kyllä","Ei")</f>
        <v>Ei</v>
      </c>
      <c r="I74" t="str">
        <f>IF(ISBLANK(Kustannustehokas_ja_organisoitu!S16),"",Kustannustehokas_ja_organisoitu!S16)</f>
        <v/>
      </c>
      <c r="J74">
        <f>LV!$B$10</f>
        <v>0</v>
      </c>
      <c r="K74" t="str">
        <f>LV!$I$18</f>
        <v/>
      </c>
      <c r="L74" t="str">
        <f>IF(ISBLANK(Lähtötiedot!$O$18),"",Lähtötiedot!$O$18)</f>
        <v/>
      </c>
      <c r="M74" t="str">
        <f>IF(ISBLANK(Lähtötiedot!$O$16),"",Lähtötiedot!$O$16)</f>
        <v/>
      </c>
      <c r="N74" s="73" t="str">
        <f>IF(ISBLANK(Lähtötiedot!$O$15),"",Lähtötiedot!$O$15)</f>
        <v/>
      </c>
      <c r="O74" s="73"/>
    </row>
    <row r="75" spans="1:15" x14ac:dyDescent="0.25">
      <c r="A75" t="str">
        <f>Kustannustehokas_ja_organisoitu!I17</f>
        <v>Ei kuulu</v>
      </c>
      <c r="B75" t="str">
        <f>Kustannustehokas_ja_organisoitu!P17</f>
        <v/>
      </c>
      <c r="C75" s="74" t="str">
        <f>Kustannustehokas_ja_organisoitu!A17</f>
        <v>1,2,3,4</v>
      </c>
      <c r="D75" t="str">
        <f>Kustannustehokas_ja_organisoitu!C17</f>
        <v>A,B,C,D</v>
      </c>
      <c r="E75" t="str">
        <f>IF(ISBLANK(Kustannustehokas_ja_organisoitu!K17),"_Otsikkorivi",Kustannustehokas_ja_organisoitu!K17)</f>
        <v>Kustannustehokas ja organisoitu</v>
      </c>
      <c r="F75" t="str">
        <f>Kustannustehokas_ja_organisoitu!L17</f>
        <v>6. Omaisuuden hallinta, operointi ja kunnossapito on suunnitelmallista</v>
      </c>
      <c r="G75" t="str">
        <f>IF(ISBLANK(Kustannustehokas_ja_organisoitu!R17),"Otsikkorivi",Kustannustehokas_ja_organisoitu!R17)</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75" t="str">
        <f>IF(Kustannustehokas_ja_organisoitu!N17="x","Kyllä","Ei")</f>
        <v>Kyllä</v>
      </c>
      <c r="I75" t="str">
        <f>IF(ISBLANK(Kustannustehokas_ja_organisoitu!S17),"",Kustannustehokas_ja_organisoitu!S17)</f>
        <v/>
      </c>
      <c r="J75">
        <f>LV!$B$10</f>
        <v>0</v>
      </c>
      <c r="K75" t="str">
        <f>LV!$I$18</f>
        <v/>
      </c>
      <c r="L75" t="str">
        <f>IF(ISBLANK(Lähtötiedot!$O$18),"",Lähtötiedot!$O$18)</f>
        <v/>
      </c>
      <c r="M75" t="str">
        <f>IF(ISBLANK(Lähtötiedot!$O$16),"",Lähtötiedot!$O$16)</f>
        <v/>
      </c>
      <c r="N75" s="73" t="str">
        <f>IF(ISBLANK(Lähtötiedot!$O$15),"",Lähtötiedot!$O$15)</f>
        <v/>
      </c>
      <c r="O75" s="73"/>
    </row>
    <row r="76" spans="1:15" x14ac:dyDescent="0.25">
      <c r="A76" t="str">
        <f>Kustannustehokas_ja_organisoitu!I18</f>
        <v>Ei kuulu</v>
      </c>
      <c r="B76" t="str">
        <f>Kustannustehokas_ja_organisoitu!P18</f>
        <v/>
      </c>
      <c r="C76" s="74" t="str">
        <f>Kustannustehokas_ja_organisoitu!A18</f>
        <v>2,3,4</v>
      </c>
      <c r="D76" t="str">
        <f>Kustannustehokas_ja_organisoitu!C18</f>
        <v>A,B,C,D</v>
      </c>
      <c r="E76" t="str">
        <f>IF(ISBLANK(Kustannustehokas_ja_organisoitu!K18),"_Otsikkorivi",Kustannustehokas_ja_organisoitu!K18)</f>
        <v>Kustannustehokas ja organisoitu</v>
      </c>
      <c r="F76" t="str">
        <f>Kustannustehokas_ja_organisoitu!L18</f>
        <v>6. Omaisuuden hallinta, operointi ja kunnossapito on suunnitelmallista</v>
      </c>
      <c r="G76" t="str">
        <f>IF(ISBLANK(Kustannustehokas_ja_organisoitu!R18),"Otsikkorivi",Kustannustehokas_ja_organisoitu!R18)</f>
        <v>6.4 Vesihuoltolaitos on määrittänyt toiminnalleen KPI-mittarit (key performance indicator), joita seurataan.</v>
      </c>
      <c r="H76" t="str">
        <f>IF(Kustannustehokas_ja_organisoitu!N18="x","Kyllä","Ei")</f>
        <v>Ei</v>
      </c>
      <c r="I76" t="str">
        <f>IF(ISBLANK(Kustannustehokas_ja_organisoitu!S18),"",Kustannustehokas_ja_organisoitu!S18)</f>
        <v/>
      </c>
      <c r="J76">
        <f>LV!$B$10</f>
        <v>0</v>
      </c>
      <c r="K76" t="str">
        <f>LV!$I$18</f>
        <v/>
      </c>
      <c r="L76" t="str">
        <f>IF(ISBLANK(Lähtötiedot!$O$18),"",Lähtötiedot!$O$18)</f>
        <v/>
      </c>
      <c r="M76" t="str">
        <f>IF(ISBLANK(Lähtötiedot!$O$16),"",Lähtötiedot!$O$16)</f>
        <v/>
      </c>
      <c r="N76" s="73" t="str">
        <f>IF(ISBLANK(Lähtötiedot!$O$15),"",Lähtötiedot!$O$15)</f>
        <v/>
      </c>
      <c r="O76" s="73"/>
    </row>
    <row r="77" spans="1:15" x14ac:dyDescent="0.25">
      <c r="A77" t="str">
        <f>Kustannustehokas_ja_organisoitu!I19</f>
        <v>Ei kuulu</v>
      </c>
      <c r="B77" t="str">
        <f>Kustannustehokas_ja_organisoitu!P19</f>
        <v/>
      </c>
      <c r="C77" s="74" t="str">
        <f>Kustannustehokas_ja_organisoitu!A19</f>
        <v>2,3,4</v>
      </c>
      <c r="D77" t="str">
        <f>Kustannustehokas_ja_organisoitu!C19</f>
        <v>A,B,C,D</v>
      </c>
      <c r="E77" t="str">
        <f>IF(ISBLANK(Kustannustehokas_ja_organisoitu!K19),"_Otsikkorivi",Kustannustehokas_ja_organisoitu!K19)</f>
        <v>Kustannustehokas ja organisoitu</v>
      </c>
      <c r="F77" t="str">
        <f>Kustannustehokas_ja_organisoitu!L19</f>
        <v>6. Omaisuuden hallinta, operointi ja kunnossapito on suunnitelmallista</v>
      </c>
      <c r="G77" t="str">
        <f>IF(ISBLANK(Kustannustehokas_ja_organisoitu!R19),"Otsikkorivi",Kustannustehokas_ja_organisoitu!R19)</f>
        <v>6.5 Vesihuoltolaitoksen laitoksista ja verkostoista kerätään järjestelmällisesti tietoa suunnittelun, rakentamisen, saneerauksen ja kunnossapidon osalta.</v>
      </c>
      <c r="H77" t="str">
        <f>IF(Kustannustehokas_ja_organisoitu!N19="x","Kyllä","Ei")</f>
        <v>Ei</v>
      </c>
      <c r="I77" t="str">
        <f>IF(ISBLANK(Kustannustehokas_ja_organisoitu!S19),"",Kustannustehokas_ja_organisoitu!S19)</f>
        <v/>
      </c>
      <c r="J77">
        <f>LV!$B$10</f>
        <v>0</v>
      </c>
      <c r="K77" t="str">
        <f>LV!$I$18</f>
        <v/>
      </c>
      <c r="L77" t="str">
        <f>IF(ISBLANK(Lähtötiedot!$O$18),"",Lähtötiedot!$O$18)</f>
        <v/>
      </c>
      <c r="M77" t="str">
        <f>IF(ISBLANK(Lähtötiedot!$O$16),"",Lähtötiedot!$O$16)</f>
        <v/>
      </c>
      <c r="N77" s="73" t="str">
        <f>IF(ISBLANK(Lähtötiedot!$O$15),"",Lähtötiedot!$O$15)</f>
        <v/>
      </c>
      <c r="O77" s="73"/>
    </row>
    <row r="78" spans="1:15" x14ac:dyDescent="0.25">
      <c r="A78" t="str">
        <f>Kustannustehokas_ja_organisoitu!I20</f>
        <v>Ei kuulu</v>
      </c>
      <c r="B78" t="str">
        <f>Kustannustehokas_ja_organisoitu!P20</f>
        <v/>
      </c>
      <c r="C78" s="74">
        <f>Kustannustehokas_ja_organisoitu!A20</f>
        <v>3.4</v>
      </c>
      <c r="D78" t="str">
        <f>Kustannustehokas_ja_organisoitu!C20</f>
        <v>A,B,C,D</v>
      </c>
      <c r="E78" t="str">
        <f>IF(ISBLANK(Kustannustehokas_ja_organisoitu!K20),"_Otsikkorivi",Kustannustehokas_ja_organisoitu!K20)</f>
        <v>Kustannustehokas ja organisoitu</v>
      </c>
      <c r="F78" t="str">
        <f>Kustannustehokas_ja_organisoitu!L20</f>
        <v>6. Omaisuuden hallinta, operointi ja kunnossapito on suunnitelmallista</v>
      </c>
      <c r="G78" t="str">
        <f>IF(ISBLANK(Kustannustehokas_ja_organisoitu!R20),"Otsikkorivi",Kustannustehokas_ja_organisoitu!R20)</f>
        <v>6.6 Vesihuoltolaitos käyttää sähköistä kunnossapitojärjestelmää.</v>
      </c>
      <c r="H78" t="str">
        <f>IF(Kustannustehokas_ja_organisoitu!N20="x","Kyllä","Ei")</f>
        <v>Ei</v>
      </c>
      <c r="I78" t="str">
        <f>IF(ISBLANK(Kustannustehokas_ja_organisoitu!S20),"",Kustannustehokas_ja_organisoitu!S20)</f>
        <v/>
      </c>
      <c r="J78">
        <f>LV!$B$10</f>
        <v>0</v>
      </c>
      <c r="K78" t="str">
        <f>LV!$I$18</f>
        <v/>
      </c>
      <c r="L78" t="str">
        <f>IF(ISBLANK(Lähtötiedot!$O$18),"",Lähtötiedot!$O$18)</f>
        <v/>
      </c>
      <c r="M78" t="str">
        <f>IF(ISBLANK(Lähtötiedot!$O$16),"",Lähtötiedot!$O$16)</f>
        <v/>
      </c>
      <c r="N78" s="73" t="str">
        <f>IF(ISBLANK(Lähtötiedot!$O$15),"",Lähtötiedot!$O$15)</f>
        <v/>
      </c>
      <c r="O78" s="73"/>
    </row>
    <row r="79" spans="1:15" x14ac:dyDescent="0.25">
      <c r="A79" t="str">
        <f>Kustannustehokas_ja_organisoitu!I21</f>
        <v>Ei kuulu</v>
      </c>
      <c r="B79" t="str">
        <f>Kustannustehokas_ja_organisoitu!P21</f>
        <v/>
      </c>
      <c r="C79" s="74">
        <f>Kustannustehokas_ja_organisoitu!A21</f>
        <v>3.4</v>
      </c>
      <c r="D79" t="str">
        <f>Kustannustehokas_ja_organisoitu!C21</f>
        <v>B</v>
      </c>
      <c r="E79" t="str">
        <f>IF(ISBLANK(Kustannustehokas_ja_organisoitu!K21),"_Otsikkorivi",Kustannustehokas_ja_organisoitu!K21)</f>
        <v>Kustannustehokas ja organisoitu</v>
      </c>
      <c r="F79" t="str">
        <f>Kustannustehokas_ja_organisoitu!L21</f>
        <v>6. Omaisuuden hallinta, operointi ja kunnossapito on suunnitelmallista</v>
      </c>
      <c r="G79" t="str">
        <f>IF(ISBLANK(Kustannustehokas_ja_organisoitu!R21),"Otsikkorivi",Kustannustehokas_ja_organisoitu!R21)</f>
        <v xml:space="preserve">6.7 Vesihuoltolaitoksen vedenjakeluverkoston vuotoja mitataan ja seurataan ja vuotavuusprosentti on määritelty verkostoalueittain. </v>
      </c>
      <c r="H79" t="str">
        <f>IF(Kustannustehokas_ja_organisoitu!N21="x","Kyllä","Ei")</f>
        <v>Ei</v>
      </c>
      <c r="I79" t="str">
        <f>IF(ISBLANK(Kustannustehokas_ja_organisoitu!S21),"",Kustannustehokas_ja_organisoitu!S21)</f>
        <v/>
      </c>
      <c r="J79">
        <f>LV!$B$10</f>
        <v>0</v>
      </c>
      <c r="K79" t="str">
        <f>LV!$I$18</f>
        <v/>
      </c>
      <c r="L79" t="str">
        <f>IF(ISBLANK(Lähtötiedot!$O$18),"",Lähtötiedot!$O$18)</f>
        <v/>
      </c>
      <c r="M79" t="str">
        <f>IF(ISBLANK(Lähtötiedot!$O$16),"",Lähtötiedot!$O$16)</f>
        <v/>
      </c>
      <c r="N79" s="73" t="str">
        <f>IF(ISBLANK(Lähtötiedot!$O$15),"",Lähtötiedot!$O$15)</f>
        <v/>
      </c>
      <c r="O79" s="73"/>
    </row>
    <row r="80" spans="1:15" x14ac:dyDescent="0.25">
      <c r="A80" t="str">
        <f>Kustannustehokas_ja_organisoitu!I22</f>
        <v>Ei kuulu</v>
      </c>
      <c r="B80" t="str">
        <f>Kustannustehokas_ja_organisoitu!P22</f>
        <v/>
      </c>
      <c r="C80" s="74">
        <f>Kustannustehokas_ja_organisoitu!A22</f>
        <v>4</v>
      </c>
      <c r="D80" t="str">
        <f>Kustannustehokas_ja_organisoitu!C22</f>
        <v>A,B,C,D</v>
      </c>
      <c r="E80" t="str">
        <f>IF(ISBLANK(Kustannustehokas_ja_organisoitu!K22),"_Otsikkorivi",Kustannustehokas_ja_organisoitu!K22)</f>
        <v>Kustannustehokas ja organisoitu</v>
      </c>
      <c r="F80" t="str">
        <f>Kustannustehokas_ja_organisoitu!L22</f>
        <v>6. Omaisuuden hallinta, operointi ja kunnossapito on suunnitelmallista</v>
      </c>
      <c r="G80" t="str">
        <f>IF(ISBLANK(Kustannustehokas_ja_organisoitu!R22),"Otsikkorivi",Kustannustehokas_ja_organisoitu!R22)</f>
        <v>6.8 Vesihuoltolaitoksella on pitkän aikavälin omaisuudenhallintasuunnitelma (20 v).</v>
      </c>
      <c r="H80" t="str">
        <f>IF(Kustannustehokas_ja_organisoitu!N22="x","Kyllä","Ei")</f>
        <v>Ei</v>
      </c>
      <c r="I80" t="str">
        <f>IF(ISBLANK(Kustannustehokas_ja_organisoitu!S22),"",Kustannustehokas_ja_organisoitu!S22)</f>
        <v/>
      </c>
      <c r="J80">
        <f>LV!$B$10</f>
        <v>0</v>
      </c>
      <c r="K80" t="str">
        <f>LV!$I$18</f>
        <v/>
      </c>
      <c r="L80" t="str">
        <f>IF(ISBLANK(Lähtötiedot!$O$18),"",Lähtötiedot!$O$18)</f>
        <v/>
      </c>
      <c r="M80" t="str">
        <f>IF(ISBLANK(Lähtötiedot!$O$16),"",Lähtötiedot!$O$16)</f>
        <v/>
      </c>
      <c r="N80" s="73" t="str">
        <f>IF(ISBLANK(Lähtötiedot!$O$15),"",Lähtötiedot!$O$15)</f>
        <v/>
      </c>
      <c r="O80" s="73"/>
    </row>
    <row r="81" spans="1:15" x14ac:dyDescent="0.25">
      <c r="A81" t="str">
        <f>Kustannustehokas_ja_organisoitu!I23</f>
        <v>Ei kuulu</v>
      </c>
      <c r="B81" t="str">
        <f>Kustannustehokas_ja_organisoitu!P23</f>
        <v/>
      </c>
      <c r="C81" s="74">
        <f>Kustannustehokas_ja_organisoitu!A23</f>
        <v>5</v>
      </c>
      <c r="D81" t="str">
        <f>Kustannustehokas_ja_organisoitu!C23</f>
        <v>A,B,C,D</v>
      </c>
      <c r="E81" t="str">
        <f>IF(ISBLANK(Kustannustehokas_ja_organisoitu!K23),"_Otsikkorivi",Kustannustehokas_ja_organisoitu!K23)</f>
        <v>Kustannustehokas ja organisoitu</v>
      </c>
      <c r="F81" t="str">
        <f>Kustannustehokas_ja_organisoitu!L23</f>
        <v>6. Omaisuuden hallinta, operointi ja kunnossapito on suunnitelmallista</v>
      </c>
      <c r="G81" t="str">
        <f>IF(ISBLANK(Kustannustehokas_ja_organisoitu!R23),"Otsikkorivi",Kustannustehokas_ja_organisoitu!R23)</f>
        <v>6.9 Vesihuoltolaitoksella on käytössä auditoitu omaisuudenhallinnan johtamisjärjestelmä (esim. ISO 55000).</v>
      </c>
      <c r="H81" t="str">
        <f>IF(Kustannustehokas_ja_organisoitu!N23="x","Kyllä","Ei")</f>
        <v>Ei</v>
      </c>
      <c r="I81" t="str">
        <f>IF(ISBLANK(Kustannustehokas_ja_organisoitu!S23),"",Kustannustehokas_ja_organisoitu!S23)</f>
        <v/>
      </c>
      <c r="J81">
        <f>LV!$B$10</f>
        <v>0</v>
      </c>
      <c r="K81" t="str">
        <f>LV!$I$18</f>
        <v/>
      </c>
      <c r="L81" t="str">
        <f>IF(ISBLANK(Lähtötiedot!$O$18),"",Lähtötiedot!$O$18)</f>
        <v/>
      </c>
      <c r="M81" t="str">
        <f>IF(ISBLANK(Lähtötiedot!$O$16),"",Lähtötiedot!$O$16)</f>
        <v/>
      </c>
      <c r="N81" s="73" t="str">
        <f>IF(ISBLANK(Lähtötiedot!$O$15),"",Lähtötiedot!$O$15)</f>
        <v/>
      </c>
      <c r="O81" s="73"/>
    </row>
    <row r="82" spans="1:15" x14ac:dyDescent="0.25">
      <c r="A82" t="str">
        <f>Kustannustehokas_ja_organisoitu!I24</f>
        <v>Ei kuulu</v>
      </c>
      <c r="B82" t="str">
        <f>Kustannustehokas_ja_organisoitu!P24</f>
        <v/>
      </c>
      <c r="C82" s="74">
        <f>Kustannustehokas_ja_organisoitu!A24</f>
        <v>5</v>
      </c>
      <c r="D82" t="str">
        <f>Kustannustehokas_ja_organisoitu!C24</f>
        <v>A,B,C,D</v>
      </c>
      <c r="E82" t="str">
        <f>IF(ISBLANK(Kustannustehokas_ja_organisoitu!K24),"_Otsikkorivi",Kustannustehokas_ja_organisoitu!K24)</f>
        <v>Kustannustehokas ja organisoitu</v>
      </c>
      <c r="F82" t="str">
        <f>Kustannustehokas_ja_organisoitu!L24</f>
        <v>6. Omaisuuden hallinta, operointi ja kunnossapito on suunnitelmallista</v>
      </c>
      <c r="G82" t="str">
        <f>IF(ISBLANK(Kustannustehokas_ja_organisoitu!R24),"Otsikkorivi",Kustannustehokas_ja_organisoitu!R24)</f>
        <v>6.10 Vesihuoltolaitoksen laitosten ja verkoston automaatiojärjestelmistä saadaan jatkuvaa, ajantasaista ja virheetöntä tietoa räätälöidysti raportoituna organisaation eri tasoille. Tietoa hyödynnetään päätöksenteossa.</v>
      </c>
      <c r="H82" t="str">
        <f>IF(Kustannustehokas_ja_organisoitu!N24="x","Kyllä","Ei")</f>
        <v>Ei</v>
      </c>
      <c r="I82" t="str">
        <f>IF(ISBLANK(Kustannustehokas_ja_organisoitu!S24),"",Kustannustehokas_ja_organisoitu!S24)</f>
        <v/>
      </c>
      <c r="J82">
        <f>LV!$B$10</f>
        <v>0</v>
      </c>
      <c r="K82" t="str">
        <f>LV!$I$18</f>
        <v/>
      </c>
      <c r="L82" t="str">
        <f>IF(ISBLANK(Lähtötiedot!$O$18),"",Lähtötiedot!$O$18)</f>
        <v/>
      </c>
      <c r="M82" t="str">
        <f>IF(ISBLANK(Lähtötiedot!$O$16),"",Lähtötiedot!$O$16)</f>
        <v/>
      </c>
      <c r="N82" s="73" t="str">
        <f>IF(ISBLANK(Lähtötiedot!$O$15),"",Lähtötiedot!$O$15)</f>
        <v/>
      </c>
      <c r="O82" s="73"/>
    </row>
    <row r="83" spans="1:15" hidden="1" x14ac:dyDescent="0.25">
      <c r="A83" t="str">
        <f>Kustannustehokas_ja_organisoitu!I25</f>
        <v>Ei kuulu</v>
      </c>
      <c r="B83" t="str">
        <f>Kustannustehokas_ja_organisoitu!P25</f>
        <v/>
      </c>
      <c r="C83" s="74" t="str">
        <f>Kustannustehokas_ja_organisoitu!A25</f>
        <v xml:space="preserve">1,2,3,4 </v>
      </c>
      <c r="D83" t="str">
        <f>Kustannustehokas_ja_organisoitu!C25</f>
        <v>A,B,C,D</v>
      </c>
      <c r="E83" t="str">
        <f>IF(ISBLANK(Kustannustehokas_ja_organisoitu!K25),"_Otsikkorivi",Kustannustehokas_ja_organisoitu!K25)</f>
        <v>Kustannustehokas ja organisoitu</v>
      </c>
      <c r="F83" t="str">
        <f>Kustannustehokas_ja_organisoitu!L25</f>
        <v>_Otsikkorivi</v>
      </c>
      <c r="G83" t="str">
        <f>IF(ISBLANK(Kustannustehokas_ja_organisoitu!R25),"Otsikkorivi",Kustannustehokas_ja_organisoitu!R25)</f>
        <v>7. Johtaminen on suunniteltua ja toiminta on kannattavaa</v>
      </c>
      <c r="H83" t="str">
        <f>IF(Kustannustehokas_ja_organisoitu!N25="x","Kyllä","Ei")</f>
        <v>Ei</v>
      </c>
      <c r="I83" t="str">
        <f>IF(ISBLANK(Kustannustehokas_ja_organisoitu!S25),"",Kustannustehokas_ja_organisoitu!S25)</f>
        <v/>
      </c>
      <c r="J83">
        <f>LV!$B$10</f>
        <v>0</v>
      </c>
      <c r="K83" t="str">
        <f>LV!$I$18</f>
        <v/>
      </c>
      <c r="L83" t="str">
        <f>IF(ISBLANK(Lähtötiedot!$O$18),"",Lähtötiedot!$O$18)</f>
        <v/>
      </c>
      <c r="M83" t="str">
        <f>IF(ISBLANK(Lähtötiedot!$O$16),"",Lähtötiedot!$O$16)</f>
        <v/>
      </c>
      <c r="N83" s="73" t="str">
        <f>IF(ISBLANK(Lähtötiedot!$O$15),"",Lähtötiedot!$O$15)</f>
        <v/>
      </c>
      <c r="O83" s="73"/>
    </row>
    <row r="84" spans="1:15" x14ac:dyDescent="0.25">
      <c r="A84" t="str">
        <f>Kustannustehokas_ja_organisoitu!I26</f>
        <v>Ei kuulu</v>
      </c>
      <c r="B84" t="str">
        <f>Kustannustehokas_ja_organisoitu!P26</f>
        <v/>
      </c>
      <c r="C84" s="74" t="str">
        <f>Kustannustehokas_ja_organisoitu!A26</f>
        <v>1,2,3,4</v>
      </c>
      <c r="D84" t="str">
        <f>Kustannustehokas_ja_organisoitu!C26</f>
        <v>A,B,C,D</v>
      </c>
      <c r="E84" t="str">
        <f>IF(ISBLANK(Kustannustehokas_ja_organisoitu!K26),"_Otsikkorivi",Kustannustehokas_ja_organisoitu!K26)</f>
        <v>Kustannustehokas ja organisoitu</v>
      </c>
      <c r="F84" t="str">
        <f>Kustannustehokas_ja_organisoitu!L26</f>
        <v>7. Johtaminen on suunniteltua ja toiminta on kannattavaa</v>
      </c>
      <c r="G84" t="str">
        <f>IF(ISBLANK(Kustannustehokas_ja_organisoitu!R26),"Otsikkorivi",Kustannustehokas_ja_organisoitu!R26)</f>
        <v>7.1 Vesihuoltolaitoksella on selkeä kulut ja tuotot erittelevä taloushallintajärjestelmä tai vastaava pienille laitoksille soveltuva järjestelmä luokan 1 laitoksille.</v>
      </c>
      <c r="H84" t="str">
        <f>IF(Kustannustehokas_ja_organisoitu!N26="x","Kyllä","Ei")</f>
        <v>Ei</v>
      </c>
      <c r="I84" t="str">
        <f>IF(ISBLANK(Kustannustehokas_ja_organisoitu!S26),"",Kustannustehokas_ja_organisoitu!S26)</f>
        <v/>
      </c>
      <c r="J84">
        <f>LV!$B$10</f>
        <v>0</v>
      </c>
      <c r="K84" t="str">
        <f>LV!$I$18</f>
        <v/>
      </c>
      <c r="L84" t="str">
        <f>IF(ISBLANK(Lähtötiedot!$O$18),"",Lähtötiedot!$O$18)</f>
        <v/>
      </c>
      <c r="M84" t="str">
        <f>IF(ISBLANK(Lähtötiedot!$O$16),"",Lähtötiedot!$O$16)</f>
        <v/>
      </c>
      <c r="N84" s="73" t="str">
        <f>IF(ISBLANK(Lähtötiedot!$O$15),"",Lähtötiedot!$O$15)</f>
        <v/>
      </c>
      <c r="O84" s="73"/>
    </row>
    <row r="85" spans="1:15" x14ac:dyDescent="0.25">
      <c r="A85" t="str">
        <f>Kustannustehokas_ja_organisoitu!I27</f>
        <v>Ei kuulu</v>
      </c>
      <c r="B85" t="str">
        <f>Kustannustehokas_ja_organisoitu!P27</f>
        <v/>
      </c>
      <c r="C85" s="74" t="str">
        <f>Kustannustehokas_ja_organisoitu!A27</f>
        <v>1,2,3,4</v>
      </c>
      <c r="D85" t="str">
        <f>Kustannustehokas_ja_organisoitu!C27</f>
        <v>A,B,C,D</v>
      </c>
      <c r="E85" t="str">
        <f>IF(ISBLANK(Kustannustehokas_ja_organisoitu!K27),"_Otsikkorivi",Kustannustehokas_ja_organisoitu!K27)</f>
        <v>Kustannustehokas ja organisoitu</v>
      </c>
      <c r="F85" t="str">
        <f>Kustannustehokas_ja_organisoitu!L27</f>
        <v>7. Johtaminen on suunniteltua ja toiminta on kannattavaa</v>
      </c>
      <c r="G85" t="str">
        <f>IF(ISBLANK(Kustannustehokas_ja_organisoitu!R27),"Otsikkorivi",Kustannustehokas_ja_organisoitu!R27)</f>
        <v>7.2 Vesihuoltolaitoksella on ajantasainen pitkän aikavälin (min. 20 v) investointiohjelma, jossa on otettu huomioon vesihuollon ja kunnan tarpeet, huomioitu vesihuollon kehittämissuunnitelma sekä toimintavarmuus.</v>
      </c>
      <c r="H85" t="str">
        <f>IF(Kustannustehokas_ja_organisoitu!N27="x","Kyllä","Ei")</f>
        <v>Kyllä</v>
      </c>
      <c r="I85" t="str">
        <f>IF(ISBLANK(Kustannustehokas_ja_organisoitu!S27),"",Kustannustehokas_ja_organisoitu!S27)</f>
        <v/>
      </c>
      <c r="J85">
        <f>LV!$B$10</f>
        <v>0</v>
      </c>
      <c r="K85" t="str">
        <f>LV!$I$18</f>
        <v/>
      </c>
      <c r="L85" t="str">
        <f>IF(ISBLANK(Lähtötiedot!$O$18),"",Lähtötiedot!$O$18)</f>
        <v/>
      </c>
      <c r="M85" t="str">
        <f>IF(ISBLANK(Lähtötiedot!$O$16),"",Lähtötiedot!$O$16)</f>
        <v/>
      </c>
      <c r="N85" s="73" t="str">
        <f>IF(ISBLANK(Lähtötiedot!$O$15),"",Lähtötiedot!$O$15)</f>
        <v/>
      </c>
      <c r="O85" s="73"/>
    </row>
    <row r="86" spans="1:15" x14ac:dyDescent="0.25">
      <c r="A86" t="str">
        <f>Kustannustehokas_ja_organisoitu!I28</f>
        <v>Ei kuulu</v>
      </c>
      <c r="B86" t="str">
        <f>Kustannustehokas_ja_organisoitu!P28</f>
        <v/>
      </c>
      <c r="C86" s="74" t="str">
        <f>Kustannustehokas_ja_organisoitu!A28</f>
        <v>1,2,3,4</v>
      </c>
      <c r="D86" t="str">
        <f>Kustannustehokas_ja_organisoitu!C28</f>
        <v>A,B,C,D</v>
      </c>
      <c r="E86" t="str">
        <f>IF(ISBLANK(Kustannustehokas_ja_organisoitu!K28),"_Otsikkorivi",Kustannustehokas_ja_organisoitu!K28)</f>
        <v>Kustannustehokas ja organisoitu</v>
      </c>
      <c r="F86" t="str">
        <f>Kustannustehokas_ja_organisoitu!L28</f>
        <v>7. Johtaminen on suunniteltua ja toiminta on kannattavaa</v>
      </c>
      <c r="G86" t="str">
        <f>IF(ISBLANK(Kustannustehokas_ja_organisoitu!R28),"Otsikkorivi",Kustannustehokas_ja_organisoitu!R28)</f>
        <v>7.3 Vesihuoltolaitoksen perimät maksut ovat sellaiset, että pitkällä aikavälillä (20 v.) voidaan kattaa vesihuoltolaitoksen suunnitellut uus- ja korjausinvestoinnit ja käyttökustannukset.</v>
      </c>
      <c r="H86" t="str">
        <f>IF(Kustannustehokas_ja_organisoitu!N28="x","Kyllä","Ei")</f>
        <v>Kyllä</v>
      </c>
      <c r="I86" t="str">
        <f>IF(ISBLANK(Kustannustehokas_ja_organisoitu!S28),"",Kustannustehokas_ja_organisoitu!S28)</f>
        <v/>
      </c>
      <c r="J86">
        <f>LV!$B$10</f>
        <v>0</v>
      </c>
      <c r="K86" t="str">
        <f>LV!$I$18</f>
        <v/>
      </c>
      <c r="L86" t="str">
        <f>IF(ISBLANK(Lähtötiedot!$O$18),"",Lähtötiedot!$O$18)</f>
        <v/>
      </c>
      <c r="M86" t="str">
        <f>IF(ISBLANK(Lähtötiedot!$O$16),"",Lähtötiedot!$O$16)</f>
        <v/>
      </c>
      <c r="N86" s="73" t="str">
        <f>IF(ISBLANK(Lähtötiedot!$O$15),"",Lähtötiedot!$O$15)</f>
        <v/>
      </c>
      <c r="O86" s="73"/>
    </row>
    <row r="87" spans="1:15" x14ac:dyDescent="0.25">
      <c r="A87" t="str">
        <f>Kustannustehokas_ja_organisoitu!I29</f>
        <v>Ei kuulu</v>
      </c>
      <c r="B87" t="str">
        <f>Kustannustehokas_ja_organisoitu!P29</f>
        <v/>
      </c>
      <c r="C87" s="74" t="str">
        <f>Kustannustehokas_ja_organisoitu!A29</f>
        <v>1,2,3,4</v>
      </c>
      <c r="D87" t="str">
        <f>Kustannustehokas_ja_organisoitu!C29</f>
        <v>A,B,C,D</v>
      </c>
      <c r="E87" t="str">
        <f>IF(ISBLANK(Kustannustehokas_ja_organisoitu!K29),"_Otsikkorivi",Kustannustehokas_ja_organisoitu!K29)</f>
        <v>Kustannustehokas ja organisoitu</v>
      </c>
      <c r="F87" t="str">
        <f>Kustannustehokas_ja_organisoitu!L29</f>
        <v>7. Johtaminen on suunniteltua ja toiminta on kannattavaa</v>
      </c>
      <c r="G87" t="str">
        <f>IF(ISBLANK(Kustannustehokas_ja_organisoitu!R29),"Otsikkorivi",Kustannustehokas_ja_organisoitu!R29)</f>
        <v>7.4 Vesihuoltolaitoksella on laadunhallintajärjestelmä tai toiminta on muuten järjestelmällistä ja kirjallisesti/sähköisesti dokumentoitua.</v>
      </c>
      <c r="H87" t="str">
        <f>IF(Kustannustehokas_ja_organisoitu!N29="x","Kyllä","Ei")</f>
        <v>Ei</v>
      </c>
      <c r="I87" t="str">
        <f>IF(ISBLANK(Kustannustehokas_ja_organisoitu!S29),"",Kustannustehokas_ja_organisoitu!S29)</f>
        <v/>
      </c>
      <c r="J87">
        <f>LV!$B$10</f>
        <v>0</v>
      </c>
      <c r="K87" t="str">
        <f>LV!$I$18</f>
        <v/>
      </c>
      <c r="L87" t="str">
        <f>IF(ISBLANK(Lähtötiedot!$O$18),"",Lähtötiedot!$O$18)</f>
        <v/>
      </c>
      <c r="M87" t="str">
        <f>IF(ISBLANK(Lähtötiedot!$O$16),"",Lähtötiedot!$O$16)</f>
        <v/>
      </c>
      <c r="N87" s="73" t="str">
        <f>IF(ISBLANK(Lähtötiedot!$O$15),"",Lähtötiedot!$O$15)</f>
        <v/>
      </c>
      <c r="O87" s="73"/>
    </row>
    <row r="88" spans="1:15" x14ac:dyDescent="0.25">
      <c r="A88" t="str">
        <f>Kustannustehokas_ja_organisoitu!I30</f>
        <v>Ei kuulu</v>
      </c>
      <c r="B88" t="str">
        <f>Kustannustehokas_ja_organisoitu!P30</f>
        <v/>
      </c>
      <c r="C88" s="74" t="str">
        <f>Kustannustehokas_ja_organisoitu!A30</f>
        <v>1,2,3,4</v>
      </c>
      <c r="D88" t="str">
        <f>Kustannustehokas_ja_organisoitu!C30</f>
        <v>A,B,C,D</v>
      </c>
      <c r="E88" t="str">
        <f>IF(ISBLANK(Kustannustehokas_ja_organisoitu!K30),"_Otsikkorivi",Kustannustehokas_ja_organisoitu!K30)</f>
        <v>Kustannustehokas ja organisoitu</v>
      </c>
      <c r="F88" t="str">
        <f>Kustannustehokas_ja_organisoitu!L30</f>
        <v>7. Johtaminen on suunniteltua ja toiminta on kannattavaa</v>
      </c>
      <c r="G88" t="str">
        <f>IF(ISBLANK(Kustannustehokas_ja_organisoitu!R30),"Otsikkorivi",Kustannustehokas_ja_organisoitu!R30)</f>
        <v>7.5 Vesihuoltolaitoksen tietojen hallinta on suunniteltua ja järjestelmällistä (esim. tiedonhallintasuunnitelma ja järjestelmä) eli varmistetaan tietojen turvallinen luokittelu, käsittely ja säilytys.</v>
      </c>
      <c r="H88" t="str">
        <f>IF(Kustannustehokas_ja_organisoitu!N30="x","Kyllä","Ei")</f>
        <v>Kyllä</v>
      </c>
      <c r="I88" t="str">
        <f>IF(ISBLANK(Kustannustehokas_ja_organisoitu!S30),"",Kustannustehokas_ja_organisoitu!S30)</f>
        <v/>
      </c>
      <c r="J88">
        <f>LV!$B$10</f>
        <v>0</v>
      </c>
      <c r="K88" t="str">
        <f>LV!$I$18</f>
        <v/>
      </c>
      <c r="L88" t="str">
        <f>IF(ISBLANK(Lähtötiedot!$O$18),"",Lähtötiedot!$O$18)</f>
        <v/>
      </c>
      <c r="M88" t="str">
        <f>IF(ISBLANK(Lähtötiedot!$O$16),"",Lähtötiedot!$O$16)</f>
        <v/>
      </c>
      <c r="N88" s="73" t="str">
        <f>IF(ISBLANK(Lähtötiedot!$O$15),"",Lähtötiedot!$O$15)</f>
        <v/>
      </c>
      <c r="O88" s="73"/>
    </row>
    <row r="89" spans="1:15" x14ac:dyDescent="0.25">
      <c r="A89" t="str">
        <f>Kustannustehokas_ja_organisoitu!I31</f>
        <v>Ei kuulu</v>
      </c>
      <c r="B89" t="str">
        <f>Kustannustehokas_ja_organisoitu!P31</f>
        <v/>
      </c>
      <c r="C89" s="74">
        <f>Kustannustehokas_ja_organisoitu!A31</f>
        <v>1</v>
      </c>
      <c r="D89" t="str">
        <f>Kustannustehokas_ja_organisoitu!C31</f>
        <v>A,B,C,D</v>
      </c>
      <c r="E89" t="str">
        <f>IF(ISBLANK(Kustannustehokas_ja_organisoitu!K31),"_Otsikkorivi",Kustannustehokas_ja_organisoitu!K31)</f>
        <v>Kustannustehokas ja organisoitu</v>
      </c>
      <c r="F89" t="str">
        <f>Kustannustehokas_ja_organisoitu!L31</f>
        <v>7. Johtaminen on suunniteltua ja toiminta on kannattavaa</v>
      </c>
      <c r="G89" t="str">
        <f>IF(ISBLANK(Kustannustehokas_ja_organisoitu!R31),"Otsikkorivi",Kustannustehokas_ja_organisoitu!R31)</f>
        <v>7.6 Vesihuoltolaitoksen toiminnasta kerätään järjestelmällisesti tietoa operatiivisen toiminnan (=päivittäisen toiminnan johtamisen) osalta.</v>
      </c>
      <c r="H89" t="str">
        <f>IF(Kustannustehokas_ja_organisoitu!N31="x","Kyllä","Ei")</f>
        <v>Ei</v>
      </c>
      <c r="I89" t="str">
        <f>IF(ISBLANK(Kustannustehokas_ja_organisoitu!S31),"",Kustannustehokas_ja_organisoitu!S31)</f>
        <v/>
      </c>
      <c r="J89">
        <f>LV!$B$10</f>
        <v>0</v>
      </c>
      <c r="K89" t="str">
        <f>LV!$I$18</f>
        <v/>
      </c>
      <c r="L89" t="str">
        <f>IF(ISBLANK(Lähtötiedot!$O$18),"",Lähtötiedot!$O$18)</f>
        <v/>
      </c>
      <c r="M89" t="str">
        <f>IF(ISBLANK(Lähtötiedot!$O$16),"",Lähtötiedot!$O$16)</f>
        <v/>
      </c>
      <c r="N89" s="73" t="str">
        <f>IF(ISBLANK(Lähtötiedot!$O$15),"",Lähtötiedot!$O$15)</f>
        <v/>
      </c>
      <c r="O89" s="73"/>
    </row>
    <row r="90" spans="1:15" x14ac:dyDescent="0.25">
      <c r="A90" t="str">
        <f>Kustannustehokas_ja_organisoitu!I32</f>
        <v>Ei kuulu</v>
      </c>
      <c r="B90" t="str">
        <f>Kustannustehokas_ja_organisoitu!P32</f>
        <v/>
      </c>
      <c r="C90" s="74" t="str">
        <f>Kustannustehokas_ja_organisoitu!A32</f>
        <v>2,3,4</v>
      </c>
      <c r="D90" t="str">
        <f>Kustannustehokas_ja_organisoitu!C32</f>
        <v>A,B,C,D</v>
      </c>
      <c r="E90" t="str">
        <f>IF(ISBLANK(Kustannustehokas_ja_organisoitu!K32),"_Otsikkorivi",Kustannustehokas_ja_organisoitu!K32)</f>
        <v>Kustannustehokas ja organisoitu</v>
      </c>
      <c r="F90" t="str">
        <f>Kustannustehokas_ja_organisoitu!L32</f>
        <v>7. Johtaminen on suunniteltua ja toiminta on kannattavaa</v>
      </c>
      <c r="G90" t="str">
        <f>IF(ISBLANK(Kustannustehokas_ja_organisoitu!R32),"Otsikkorivi",Kustannustehokas_ja_organisoitu!R32)</f>
        <v>7.6 Vesihuoltolaitoksen operatiivisesta toiminnasta kerätään järjestelmällisesti oleellista tietoa, jota hyödynnetään johtamisessa</v>
      </c>
      <c r="H90" t="str">
        <f>IF(Kustannustehokas_ja_organisoitu!N32="x","Kyllä","Ei")</f>
        <v>Ei</v>
      </c>
      <c r="I90" t="str">
        <f>IF(ISBLANK(Kustannustehokas_ja_organisoitu!S32),"",Kustannustehokas_ja_organisoitu!S32)</f>
        <v/>
      </c>
      <c r="J90">
        <f>LV!$B$10</f>
        <v>0</v>
      </c>
      <c r="K90" t="str">
        <f>LV!$I$18</f>
        <v/>
      </c>
      <c r="L90" t="str">
        <f>IF(ISBLANK(Lähtötiedot!$O$18),"",Lähtötiedot!$O$18)</f>
        <v/>
      </c>
      <c r="M90" t="str">
        <f>IF(ISBLANK(Lähtötiedot!$O$16),"",Lähtötiedot!$O$16)</f>
        <v/>
      </c>
      <c r="N90" s="73" t="str">
        <f>IF(ISBLANK(Lähtötiedot!$O$15),"",Lähtötiedot!$O$15)</f>
        <v/>
      </c>
      <c r="O90" s="73"/>
    </row>
    <row r="91" spans="1:15" x14ac:dyDescent="0.25">
      <c r="A91" t="str">
        <f>Kustannustehokas_ja_organisoitu!I33</f>
        <v>Ei kuulu</v>
      </c>
      <c r="B91" t="str">
        <f>Kustannustehokas_ja_organisoitu!P33</f>
        <v/>
      </c>
      <c r="C91" s="74">
        <f>Kustannustehokas_ja_organisoitu!A33</f>
        <v>3.4</v>
      </c>
      <c r="D91" t="str">
        <f>Kustannustehokas_ja_organisoitu!C33</f>
        <v>A,B,C,D</v>
      </c>
      <c r="E91" t="str">
        <f>IF(ISBLANK(Kustannustehokas_ja_organisoitu!K33),"_Otsikkorivi",Kustannustehokas_ja_organisoitu!K33)</f>
        <v>Kustannustehokas ja organisoitu</v>
      </c>
      <c r="F91" t="str">
        <f>Kustannustehokas_ja_organisoitu!L33</f>
        <v>7. Johtaminen on suunniteltua ja toiminta on kannattavaa</v>
      </c>
      <c r="G91" t="str">
        <f>IF(ISBLANK(Kustannustehokas_ja_organisoitu!R33),"Otsikkorivi",Kustannustehokas_ja_organisoitu!R33)</f>
        <v>7.7 Vesihuoltolaitoksella on käytössä operatiivisen toiminnan johtamisjärjestelmä (sisältää esim. vastuunjaon ja tehtäväkuvaukset) ja jatkuvan parantamisen toimintatapa.</v>
      </c>
      <c r="H91" t="str">
        <f>IF(Kustannustehokas_ja_organisoitu!N33="x","Kyllä","Ei")</f>
        <v>Ei</v>
      </c>
      <c r="I91" t="str">
        <f>IF(ISBLANK(Kustannustehokas_ja_organisoitu!S33),"",Kustannustehokas_ja_organisoitu!S33)</f>
        <v/>
      </c>
      <c r="J91">
        <f>LV!$B$10</f>
        <v>0</v>
      </c>
      <c r="K91" t="str">
        <f>LV!$I$18</f>
        <v/>
      </c>
      <c r="L91" t="str">
        <f>IF(ISBLANK(Lähtötiedot!$O$18),"",Lähtötiedot!$O$18)</f>
        <v/>
      </c>
      <c r="M91" t="str">
        <f>IF(ISBLANK(Lähtötiedot!$O$16),"",Lähtötiedot!$O$16)</f>
        <v/>
      </c>
      <c r="N91" s="73" t="str">
        <f>IF(ISBLANK(Lähtötiedot!$O$15),"",Lähtötiedot!$O$15)</f>
        <v/>
      </c>
      <c r="O91" s="73"/>
    </row>
    <row r="92" spans="1:15" x14ac:dyDescent="0.25">
      <c r="A92" t="str">
        <f>Kustannustehokas_ja_organisoitu!I34</f>
        <v>Ei kuulu</v>
      </c>
      <c r="B92" t="str">
        <f>Kustannustehokas_ja_organisoitu!P34</f>
        <v/>
      </c>
      <c r="C92" s="74">
        <f>Kustannustehokas_ja_organisoitu!A34</f>
        <v>3.4</v>
      </c>
      <c r="D92" t="str">
        <f>Kustannustehokas_ja_organisoitu!C34</f>
        <v>B,C</v>
      </c>
      <c r="E92" t="str">
        <f>IF(ISBLANK(Kustannustehokas_ja_organisoitu!K34),"_Otsikkorivi",Kustannustehokas_ja_organisoitu!K34)</f>
        <v>Kustannustehokas ja organisoitu</v>
      </c>
      <c r="F92" t="str">
        <f>Kustannustehokas_ja_organisoitu!L34</f>
        <v>7. Johtaminen on suunniteltua ja toiminta on kannattavaa</v>
      </c>
      <c r="G92" t="str">
        <f>IF(ISBLANK(Kustannustehokas_ja_organisoitu!R34),"Otsikkorivi",Kustannustehokas_ja_organisoitu!R34)</f>
        <v>7.8 Vesihuoltolaitos on kartoittanut tarpeen erisuuruisille perus- ja liittymismaksuille eri alueilla ja ottanut ne käyttöön niiden soveltuessa.</v>
      </c>
      <c r="H92" t="str">
        <f>IF(Kustannustehokas_ja_organisoitu!N34="x","Kyllä","Ei")</f>
        <v>Ei</v>
      </c>
      <c r="I92" t="str">
        <f>IF(ISBLANK(Kustannustehokas_ja_organisoitu!S34),"",Kustannustehokas_ja_organisoitu!S34)</f>
        <v/>
      </c>
      <c r="J92">
        <f>LV!$B$10</f>
        <v>0</v>
      </c>
      <c r="K92" t="str">
        <f>LV!$I$18</f>
        <v/>
      </c>
      <c r="L92" t="str">
        <f>IF(ISBLANK(Lähtötiedot!$O$18),"",Lähtötiedot!$O$18)</f>
        <v/>
      </c>
      <c r="M92" t="str">
        <f>IF(ISBLANK(Lähtötiedot!$O$16),"",Lähtötiedot!$O$16)</f>
        <v/>
      </c>
      <c r="N92" s="73" t="str">
        <f>IF(ISBLANK(Lähtötiedot!$O$15),"",Lähtötiedot!$O$15)</f>
        <v/>
      </c>
      <c r="O92" s="73"/>
    </row>
    <row r="93" spans="1:15" x14ac:dyDescent="0.25">
      <c r="A93" t="str">
        <f>Kustannustehokas_ja_organisoitu!I35</f>
        <v>Ei kuulu</v>
      </c>
      <c r="B93" t="str">
        <f>Kustannustehokas_ja_organisoitu!P35</f>
        <v/>
      </c>
      <c r="C93" s="74">
        <f>Kustannustehokas_ja_organisoitu!A35</f>
        <v>4</v>
      </c>
      <c r="D93" t="str">
        <f>Kustannustehokas_ja_organisoitu!C35</f>
        <v>A,B,C,D</v>
      </c>
      <c r="E93" t="str">
        <f>IF(ISBLANK(Kustannustehokas_ja_organisoitu!K35),"_Otsikkorivi",Kustannustehokas_ja_organisoitu!K35)</f>
        <v>Kustannustehokas ja organisoitu</v>
      </c>
      <c r="F93" t="str">
        <f>Kustannustehokas_ja_organisoitu!L35</f>
        <v>7. Johtaminen on suunniteltua ja toiminta on kannattavaa</v>
      </c>
      <c r="G93" t="str">
        <f>IF(ISBLANK(Kustannustehokas_ja_organisoitu!R35),"Otsikkorivi",Kustannustehokas_ja_organisoitu!R35)</f>
        <v>7.9 Vesihuoltolaitoksen henkilöstöllä ja johdolla on tulostavoitteet ja tulosmittarit tai muu määritelty ja mitattava ajuri, jota seurataan ja hyödynnetään toiminnan kehittämisessä.</v>
      </c>
      <c r="H93" t="str">
        <f>IF(Kustannustehokas_ja_organisoitu!N35="x","Kyllä","Ei")</f>
        <v>Ei</v>
      </c>
      <c r="I93" t="str">
        <f>IF(ISBLANK(Kustannustehokas_ja_organisoitu!S35),"",Kustannustehokas_ja_organisoitu!S35)</f>
        <v/>
      </c>
      <c r="J93">
        <f>LV!$B$10</f>
        <v>0</v>
      </c>
      <c r="K93" t="str">
        <f>LV!$I$18</f>
        <v/>
      </c>
      <c r="L93" t="str">
        <f>IF(ISBLANK(Lähtötiedot!$O$18),"",Lähtötiedot!$O$18)</f>
        <v/>
      </c>
      <c r="M93" t="str">
        <f>IF(ISBLANK(Lähtötiedot!$O$16),"",Lähtötiedot!$O$16)</f>
        <v/>
      </c>
      <c r="N93" s="73" t="str">
        <f>IF(ISBLANK(Lähtötiedot!$O$15),"",Lähtötiedot!$O$15)</f>
        <v/>
      </c>
      <c r="O93" s="73"/>
    </row>
    <row r="94" spans="1:15" x14ac:dyDescent="0.25">
      <c r="A94" t="str">
        <f>Kustannustehokas_ja_organisoitu!I36</f>
        <v>Ei kuulu</v>
      </c>
      <c r="B94" t="str">
        <f>Kustannustehokas_ja_organisoitu!P36</f>
        <v/>
      </c>
      <c r="C94" s="74">
        <f>Kustannustehokas_ja_organisoitu!A36</f>
        <v>5</v>
      </c>
      <c r="D94" t="str">
        <f>Kustannustehokas_ja_organisoitu!C36</f>
        <v>A,B,C,D</v>
      </c>
      <c r="E94" t="str">
        <f>IF(ISBLANK(Kustannustehokas_ja_organisoitu!K36),"_Otsikkorivi",Kustannustehokas_ja_organisoitu!K36)</f>
        <v>Kustannustehokas ja organisoitu</v>
      </c>
      <c r="F94" t="str">
        <f>Kustannustehokas_ja_organisoitu!L36</f>
        <v>7. Johtaminen on suunniteltua ja toiminta on kannattavaa</v>
      </c>
      <c r="G94" t="str">
        <f>IF(ISBLANK(Kustannustehokas_ja_organisoitu!R36),"Otsikkorivi",Kustannustehokas_ja_organisoitu!R36)</f>
        <v>7.10 Vesihuoltolaitoksella on käytössä auditoidut ISO 9001-laatujärjestelmä sekä ISO 14001 -ympäristöjärjestelmä tai muu vastaava järjestelmä.</v>
      </c>
      <c r="H94" t="str">
        <f>IF(Kustannustehokas_ja_organisoitu!N36="x","Kyllä","Ei")</f>
        <v>Ei</v>
      </c>
      <c r="I94" t="str">
        <f>IF(ISBLANK(Kustannustehokas_ja_organisoitu!S36),"",Kustannustehokas_ja_organisoitu!S36)</f>
        <v/>
      </c>
      <c r="J94">
        <f>LV!$B$10</f>
        <v>0</v>
      </c>
      <c r="K94" t="str">
        <f>LV!$I$18</f>
        <v/>
      </c>
      <c r="L94" t="str">
        <f>IF(ISBLANK(Lähtötiedot!$O$18),"",Lähtötiedot!$O$18)</f>
        <v/>
      </c>
      <c r="M94" t="str">
        <f>IF(ISBLANK(Lähtötiedot!$O$16),"",Lähtötiedot!$O$16)</f>
        <v/>
      </c>
      <c r="N94" s="73" t="str">
        <f>IF(ISBLANK(Lähtötiedot!$O$15),"",Lähtötiedot!$O$15)</f>
        <v/>
      </c>
      <c r="O94" s="73"/>
    </row>
    <row r="95" spans="1:15" x14ac:dyDescent="0.25">
      <c r="A95" t="str">
        <f>Kustannustehokas_ja_organisoitu!I37</f>
        <v>Ei kuulu</v>
      </c>
      <c r="B95" t="str">
        <f>Kustannustehokas_ja_organisoitu!P37</f>
        <v/>
      </c>
      <c r="C95" s="74">
        <f>Kustannustehokas_ja_organisoitu!A37</f>
        <v>5</v>
      </c>
      <c r="D95" t="str">
        <f>Kustannustehokas_ja_organisoitu!C37</f>
        <v>A,B,C,D</v>
      </c>
      <c r="E95" t="str">
        <f>IF(ISBLANK(Kustannustehokas_ja_organisoitu!K37),"_Otsikkorivi",Kustannustehokas_ja_organisoitu!K37)</f>
        <v>Kustannustehokas ja organisoitu</v>
      </c>
      <c r="F95" t="str">
        <f>Kustannustehokas_ja_organisoitu!L37</f>
        <v>7. Johtaminen on suunniteltua ja toiminta on kannattavaa</v>
      </c>
      <c r="G95" t="str">
        <f>IF(ISBLANK(Kustannustehokas_ja_organisoitu!R37),"Otsikkorivi",Kustannustehokas_ja_organisoitu!R37)</f>
        <v>7.11 Vesihuoltolaitoksella on käytössä auditoitu ISO 45001 työterveys- ja turvallisuusjärjestelmä tai muu vastaava.</v>
      </c>
      <c r="H95" t="str">
        <f>IF(Kustannustehokas_ja_organisoitu!N37="x","Kyllä","Ei")</f>
        <v>Ei</v>
      </c>
      <c r="I95" t="str">
        <f>IF(ISBLANK(Kustannustehokas_ja_organisoitu!S37),"",Kustannustehokas_ja_organisoitu!S37)</f>
        <v/>
      </c>
      <c r="J95">
        <f>LV!$B$10</f>
        <v>0</v>
      </c>
      <c r="K95" t="str">
        <f>LV!$I$18</f>
        <v/>
      </c>
      <c r="L95" t="str">
        <f>IF(ISBLANK(Lähtötiedot!$O$18),"",Lähtötiedot!$O$18)</f>
        <v/>
      </c>
      <c r="M95" t="str">
        <f>IF(ISBLANK(Lähtötiedot!$O$16),"",Lähtötiedot!$O$16)</f>
        <v/>
      </c>
      <c r="N95" s="73" t="str">
        <f>IF(ISBLANK(Lähtötiedot!$O$15),"",Lähtötiedot!$O$15)</f>
        <v/>
      </c>
      <c r="O95" s="73"/>
    </row>
    <row r="96" spans="1:15" hidden="1" x14ac:dyDescent="0.25">
      <c r="A96" t="str">
        <f>Kustannustehokas_ja_organisoitu!I38</f>
        <v>Ei kuulu</v>
      </c>
      <c r="B96" t="str">
        <f>Kustannustehokas_ja_organisoitu!P38</f>
        <v/>
      </c>
      <c r="C96" s="74" t="str">
        <f>Kustannustehokas_ja_organisoitu!A38</f>
        <v xml:space="preserve">1,2,3,4 </v>
      </c>
      <c r="D96" t="str">
        <f>Kustannustehokas_ja_organisoitu!C38</f>
        <v>A,B,C,D</v>
      </c>
      <c r="E96" t="str">
        <f>IF(ISBLANK(Kustannustehokas_ja_organisoitu!K38),"_Otsikkorivi",Kustannustehokas_ja_organisoitu!K38)</f>
        <v>Kustannustehokas ja organisoitu</v>
      </c>
      <c r="F96" t="str">
        <f>Kustannustehokas_ja_organisoitu!L38</f>
        <v>_Otsikkorivi</v>
      </c>
      <c r="G96" t="str">
        <f>IF(ISBLANK(Kustannustehokas_ja_organisoitu!R38),"Otsikkorivi",Kustannustehokas_ja_organisoitu!R38)</f>
        <v>8. Käyttötalouden hallinta ja hankinnat ovat suunniteltuja, tehostettuja ja läpinäkyviä.</v>
      </c>
      <c r="H96" t="str">
        <f>IF(Kustannustehokas_ja_organisoitu!N38="x","Kyllä","Ei")</f>
        <v>Ei</v>
      </c>
      <c r="I96" t="str">
        <f>IF(ISBLANK(Kustannustehokas_ja_organisoitu!S38),"",Kustannustehokas_ja_organisoitu!S38)</f>
        <v/>
      </c>
      <c r="J96">
        <f>LV!$B$10</f>
        <v>0</v>
      </c>
      <c r="K96" t="str">
        <f>LV!$I$18</f>
        <v/>
      </c>
      <c r="L96" t="str">
        <f>IF(ISBLANK(Lähtötiedot!$O$18),"",Lähtötiedot!$O$18)</f>
        <v/>
      </c>
      <c r="M96" t="str">
        <f>IF(ISBLANK(Lähtötiedot!$O$16),"",Lähtötiedot!$O$16)</f>
        <v/>
      </c>
      <c r="N96" s="73" t="str">
        <f>IF(ISBLANK(Lähtötiedot!$O$15),"",Lähtötiedot!$O$15)</f>
        <v/>
      </c>
      <c r="O96" s="73"/>
    </row>
    <row r="97" spans="1:15" x14ac:dyDescent="0.25">
      <c r="A97" t="str">
        <f>Kustannustehokas_ja_organisoitu!I39</f>
        <v>Ei kuulu</v>
      </c>
      <c r="B97" t="str">
        <f>Kustannustehokas_ja_organisoitu!P39</f>
        <v/>
      </c>
      <c r="C97" s="74" t="str">
        <f>Kustannustehokas_ja_organisoitu!A39</f>
        <v>1,2,3,4</v>
      </c>
      <c r="D97" t="str">
        <f>Kustannustehokas_ja_organisoitu!C39</f>
        <v>A,B,C,D</v>
      </c>
      <c r="E97" t="str">
        <f>IF(ISBLANK(Kustannustehokas_ja_organisoitu!K39),"_Otsikkorivi",Kustannustehokas_ja_organisoitu!K39)</f>
        <v>Kustannustehokas ja organisoitu</v>
      </c>
      <c r="F97" t="str">
        <f>Kustannustehokas_ja_organisoitu!L39</f>
        <v>8. Käyttötalouden hallinta ja hankinnat ovat suunniteltuja, tehostettuja ja läpinäkyviä.</v>
      </c>
      <c r="G97" t="str">
        <f>IF(ISBLANK(Kustannustehokas_ja_organisoitu!R39),"Otsikkorivi",Kustannustehokas_ja_organisoitu!R39)</f>
        <v>8.1 Vesihuoltolaitoksen hyödykkeiden kulutusta seurataan. Hyödykkeellä tarkoitetaan vesilaitoksen toiminnassaan käyttämiä aineita, tarvikkeita tai palveluita, kuten esim. kemikaaleja, sähköä, rakentamispalvelua tms.</v>
      </c>
      <c r="H97" t="str">
        <f>IF(Kustannustehokas_ja_organisoitu!N39="x","Kyllä","Ei")</f>
        <v>Ei</v>
      </c>
      <c r="I97" t="str">
        <f>IF(ISBLANK(Kustannustehokas_ja_organisoitu!S39),"",Kustannustehokas_ja_organisoitu!S39)</f>
        <v/>
      </c>
      <c r="J97">
        <f>LV!$B$10</f>
        <v>0</v>
      </c>
      <c r="K97" t="str">
        <f>LV!$I$18</f>
        <v/>
      </c>
      <c r="L97" t="str">
        <f>IF(ISBLANK(Lähtötiedot!$O$18),"",Lähtötiedot!$O$18)</f>
        <v/>
      </c>
      <c r="M97" t="str">
        <f>IF(ISBLANK(Lähtötiedot!$O$16),"",Lähtötiedot!$O$16)</f>
        <v/>
      </c>
      <c r="N97" s="73" t="str">
        <f>IF(ISBLANK(Lähtötiedot!$O$15),"",Lähtötiedot!$O$15)</f>
        <v/>
      </c>
      <c r="O97" s="73"/>
    </row>
    <row r="98" spans="1:15" x14ac:dyDescent="0.25">
      <c r="A98" t="str">
        <f>Kustannustehokas_ja_organisoitu!I40</f>
        <v>Ei kuulu</v>
      </c>
      <c r="B98" t="str">
        <f>Kustannustehokas_ja_organisoitu!P40</f>
        <v/>
      </c>
      <c r="C98" s="74" t="str">
        <f>Kustannustehokas_ja_organisoitu!A40</f>
        <v>1,2,3,4</v>
      </c>
      <c r="D98" t="str">
        <f>Kustannustehokas_ja_organisoitu!C40</f>
        <v>A,B,C,D</v>
      </c>
      <c r="E98" t="str">
        <f>IF(ISBLANK(Kustannustehokas_ja_organisoitu!K40),"_Otsikkorivi",Kustannustehokas_ja_organisoitu!K40)</f>
        <v>Kustannustehokas ja organisoitu</v>
      </c>
      <c r="F98" t="str">
        <f>Kustannustehokas_ja_organisoitu!L40</f>
        <v>8. Käyttötalouden hallinta ja hankinnat ovat suunniteltuja, tehostettuja ja läpinäkyviä.</v>
      </c>
      <c r="G98" t="str">
        <f>IF(ISBLANK(Kustannustehokas_ja_organisoitu!R40),"Otsikkorivi",Kustannustehokas_ja_organisoitu!R40)</f>
        <v xml:space="preserve">8.2 Vesihuoltolaitoksen kustannuksia seurataan ja käyttötaloutta tehostetaan aktiivisesti. </v>
      </c>
      <c r="H98" t="str">
        <f>IF(Kustannustehokas_ja_organisoitu!N40="x","Kyllä","Ei")</f>
        <v>Ei</v>
      </c>
      <c r="I98" t="str">
        <f>IF(ISBLANK(Kustannustehokas_ja_organisoitu!S40),"",Kustannustehokas_ja_organisoitu!S40)</f>
        <v/>
      </c>
      <c r="J98">
        <f>LV!$B$10</f>
        <v>0</v>
      </c>
      <c r="K98" t="str">
        <f>LV!$I$18</f>
        <v/>
      </c>
      <c r="L98" t="str">
        <f>IF(ISBLANK(Lähtötiedot!$O$18),"",Lähtötiedot!$O$18)</f>
        <v/>
      </c>
      <c r="M98" t="str">
        <f>IF(ISBLANK(Lähtötiedot!$O$16),"",Lähtötiedot!$O$16)</f>
        <v/>
      </c>
      <c r="N98" s="73" t="str">
        <f>IF(ISBLANK(Lähtötiedot!$O$15),"",Lähtötiedot!$O$15)</f>
        <v/>
      </c>
      <c r="O98" s="73"/>
    </row>
    <row r="99" spans="1:15" x14ac:dyDescent="0.25">
      <c r="A99" t="str">
        <f>Kustannustehokas_ja_organisoitu!I41</f>
        <v>Ei kuulu</v>
      </c>
      <c r="B99" t="str">
        <f>Kustannustehokas_ja_organisoitu!P41</f>
        <v/>
      </c>
      <c r="C99" s="74" t="str">
        <f>Kustannustehokas_ja_organisoitu!A41</f>
        <v>1,2,3,4</v>
      </c>
      <c r="D99" t="str">
        <f>Kustannustehokas_ja_organisoitu!C41</f>
        <v>A,B,C,D</v>
      </c>
      <c r="E99" t="str">
        <f>IF(ISBLANK(Kustannustehokas_ja_organisoitu!K41),"_Otsikkorivi",Kustannustehokas_ja_organisoitu!K41)</f>
        <v>Kustannustehokas ja organisoitu</v>
      </c>
      <c r="F99" t="str">
        <f>Kustannustehokas_ja_organisoitu!L41</f>
        <v>8. Käyttötalouden hallinta ja hankinnat ovat suunniteltuja, tehostettuja ja läpinäkyviä.</v>
      </c>
      <c r="G99" t="str">
        <f>IF(ISBLANK(Kustannustehokas_ja_organisoitu!R41),"Otsikkorivi",Kustannustehokas_ja_organisoitu!R41)</f>
        <v xml:space="preserve">8.3 Vesihuoltolaitoksella tai kunnalla on vesihuoltolaitosta koskevat hankintaohjeet. Hankinnoissa otetaan tarkoituksenmukaisesti huomioon laatu- ja hintakriteerit. </v>
      </c>
      <c r="H99" t="str">
        <f>IF(Kustannustehokas_ja_organisoitu!N41="x","Kyllä","Ei")</f>
        <v>Ei</v>
      </c>
      <c r="I99" t="str">
        <f>IF(ISBLANK(Kustannustehokas_ja_organisoitu!S41),"",Kustannustehokas_ja_organisoitu!S41)</f>
        <v/>
      </c>
      <c r="J99">
        <f>LV!$B$10</f>
        <v>0</v>
      </c>
      <c r="K99" t="str">
        <f>LV!$I$18</f>
        <v/>
      </c>
      <c r="L99" t="str">
        <f>IF(ISBLANK(Lähtötiedot!$O$18),"",Lähtötiedot!$O$18)</f>
        <v/>
      </c>
      <c r="M99" t="str">
        <f>IF(ISBLANK(Lähtötiedot!$O$16),"",Lähtötiedot!$O$16)</f>
        <v/>
      </c>
      <c r="N99" s="73" t="str">
        <f>IF(ISBLANK(Lähtötiedot!$O$15),"",Lähtötiedot!$O$15)</f>
        <v/>
      </c>
      <c r="O99" s="73"/>
    </row>
    <row r="100" spans="1:15" x14ac:dyDescent="0.25">
      <c r="A100" t="str">
        <f>Kustannustehokas_ja_organisoitu!I42</f>
        <v>Ei kuulu</v>
      </c>
      <c r="B100" t="str">
        <f>Kustannustehokas_ja_organisoitu!P42</f>
        <v/>
      </c>
      <c r="C100" s="74" t="str">
        <f>Kustannustehokas_ja_organisoitu!A42</f>
        <v>2,3,4</v>
      </c>
      <c r="D100" t="str">
        <f>Kustannustehokas_ja_organisoitu!C42</f>
        <v>A,B,C,D</v>
      </c>
      <c r="E100" t="str">
        <f>IF(ISBLANK(Kustannustehokas_ja_organisoitu!K42),"_Otsikkorivi",Kustannustehokas_ja_organisoitu!K42)</f>
        <v>Kustannustehokas ja organisoitu</v>
      </c>
      <c r="F100" t="str">
        <f>Kustannustehokas_ja_organisoitu!L42</f>
        <v>8. Käyttötalouden hallinta ja hankinnat ovat suunniteltuja, tehostettuja ja läpinäkyviä.</v>
      </c>
      <c r="G100" t="str">
        <f>IF(ISBLANK(Kustannustehokas_ja_organisoitu!R42),"Otsikkorivi",Kustannustehokas_ja_organisoitu!R42)</f>
        <v>8.4 Vesihuoltolaitoksen henkilöstö on saanut koulutusta hankintojen ja palvelujen kilpailutukseen ja sopimuksiin sekä palvelujen ja toimitusten valvontaan.</v>
      </c>
      <c r="H100" t="str">
        <f>IF(Kustannustehokas_ja_organisoitu!N42="x","Kyllä","Ei")</f>
        <v>Ei</v>
      </c>
      <c r="I100" t="str">
        <f>IF(ISBLANK(Kustannustehokas_ja_organisoitu!S42),"",Kustannustehokas_ja_organisoitu!S42)</f>
        <v/>
      </c>
      <c r="J100">
        <f>LV!$B$10</f>
        <v>0</v>
      </c>
      <c r="K100" t="str">
        <f>LV!$I$18</f>
        <v/>
      </c>
      <c r="L100" t="str">
        <f>IF(ISBLANK(Lähtötiedot!$O$18),"",Lähtötiedot!$O$18)</f>
        <v/>
      </c>
      <c r="M100" t="str">
        <f>IF(ISBLANK(Lähtötiedot!$O$16),"",Lähtötiedot!$O$16)</f>
        <v/>
      </c>
      <c r="N100" s="73" t="str">
        <f>IF(ISBLANK(Lähtötiedot!$O$15),"",Lähtötiedot!$O$15)</f>
        <v/>
      </c>
      <c r="O100" s="73"/>
    </row>
    <row r="101" spans="1:15" x14ac:dyDescent="0.25">
      <c r="A101" t="str">
        <f>Kustannustehokas_ja_organisoitu!I43</f>
        <v>Ei kuulu</v>
      </c>
      <c r="B101" t="str">
        <f>Kustannustehokas_ja_organisoitu!P43</f>
        <v/>
      </c>
      <c r="C101" s="74" t="str">
        <f>Kustannustehokas_ja_organisoitu!A43</f>
        <v>2,3,4</v>
      </c>
      <c r="D101" t="str">
        <f>Kustannustehokas_ja_organisoitu!C43</f>
        <v>A,B,C,D</v>
      </c>
      <c r="E101" t="str">
        <f>IF(ISBLANK(Kustannustehokas_ja_organisoitu!K43),"_Otsikkorivi",Kustannustehokas_ja_organisoitu!K43)</f>
        <v>Kustannustehokas ja organisoitu</v>
      </c>
      <c r="F101" t="str">
        <f>Kustannustehokas_ja_organisoitu!L43</f>
        <v>8. Käyttötalouden hallinta ja hankinnat ovat suunniteltuja, tehostettuja ja läpinäkyviä.</v>
      </c>
      <c r="G101" t="str">
        <f>IF(ISBLANK(Kustannustehokas_ja_organisoitu!R43),"Otsikkorivi",Kustannustehokas_ja_organisoitu!R43)</f>
        <v xml:space="preserve">8.5 Vesihuoltolaitoksella on puitesopimukset keskeisten tavaroiden ja palveluiden hankinnan osalta. </v>
      </c>
      <c r="H101" t="str">
        <f>IF(Kustannustehokas_ja_organisoitu!N43="x","Kyllä","Ei")</f>
        <v>Ei</v>
      </c>
      <c r="I101" t="str">
        <f>IF(ISBLANK(Kustannustehokas_ja_organisoitu!S43),"",Kustannustehokas_ja_organisoitu!S43)</f>
        <v/>
      </c>
      <c r="J101">
        <f>LV!$B$10</f>
        <v>0</v>
      </c>
      <c r="K101" t="str">
        <f>LV!$I$18</f>
        <v/>
      </c>
      <c r="L101" t="str">
        <f>IF(ISBLANK(Lähtötiedot!$O$18),"",Lähtötiedot!$O$18)</f>
        <v/>
      </c>
      <c r="M101" t="str">
        <f>IF(ISBLANK(Lähtötiedot!$O$16),"",Lähtötiedot!$O$16)</f>
        <v/>
      </c>
      <c r="N101" s="73" t="str">
        <f>IF(ISBLANK(Lähtötiedot!$O$15),"",Lähtötiedot!$O$15)</f>
        <v/>
      </c>
      <c r="O101" s="73"/>
    </row>
    <row r="102" spans="1:15" x14ac:dyDescent="0.25">
      <c r="A102" t="str">
        <f>Kustannustehokas_ja_organisoitu!I44</f>
        <v>Ei kuulu</v>
      </c>
      <c r="B102" t="str">
        <f>Kustannustehokas_ja_organisoitu!P44</f>
        <v/>
      </c>
      <c r="C102" s="74" t="str">
        <f>Kustannustehokas_ja_organisoitu!A44</f>
        <v>2,3,4</v>
      </c>
      <c r="D102" t="str">
        <f>Kustannustehokas_ja_organisoitu!C44</f>
        <v>A,B,C,D</v>
      </c>
      <c r="E102" t="str">
        <f>IF(ISBLANK(Kustannustehokas_ja_organisoitu!K44),"_Otsikkorivi",Kustannustehokas_ja_organisoitu!K44)</f>
        <v>Kustannustehokas ja organisoitu</v>
      </c>
      <c r="F102" t="str">
        <f>Kustannustehokas_ja_organisoitu!L44</f>
        <v>8. Käyttötalouden hallinta ja hankinnat ovat suunniteltuja, tehostettuja ja läpinäkyviä.</v>
      </c>
      <c r="G102" t="str">
        <f>IF(ISBLANK(Kustannustehokas_ja_organisoitu!R44),"Otsikkorivi",Kustannustehokas_ja_organisoitu!R44)</f>
        <v>8.6 Vesihuoltolaitos kerää ja käyttää tunnuslukutietoa systemaattisesti ja vertailee toimintaansa kokoluokan ja lähialueen muihin vastaaviin toimijoihin.</v>
      </c>
      <c r="H102" t="str">
        <f>IF(Kustannustehokas_ja_organisoitu!N44="x","Kyllä","Ei")</f>
        <v>Ei</v>
      </c>
      <c r="I102" t="str">
        <f>IF(ISBLANK(Kustannustehokas_ja_organisoitu!S44),"",Kustannustehokas_ja_organisoitu!S44)</f>
        <v/>
      </c>
      <c r="J102">
        <f>LV!$B$10</f>
        <v>0</v>
      </c>
      <c r="K102" t="str">
        <f>LV!$I$18</f>
        <v/>
      </c>
      <c r="L102" t="str">
        <f>IF(ISBLANK(Lähtötiedot!$O$18),"",Lähtötiedot!$O$18)</f>
        <v/>
      </c>
      <c r="M102" t="str">
        <f>IF(ISBLANK(Lähtötiedot!$O$16),"",Lähtötiedot!$O$16)</f>
        <v/>
      </c>
      <c r="N102" s="73" t="str">
        <f>IF(ISBLANK(Lähtötiedot!$O$15),"",Lähtötiedot!$O$15)</f>
        <v/>
      </c>
      <c r="O102" s="73"/>
    </row>
    <row r="103" spans="1:15" x14ac:dyDescent="0.25">
      <c r="A103" t="str">
        <f>Kustannustehokas_ja_organisoitu!I45</f>
        <v>Ei kuulu</v>
      </c>
      <c r="B103" t="str">
        <f>Kustannustehokas_ja_organisoitu!P45</f>
        <v/>
      </c>
      <c r="C103" s="74">
        <f>Kustannustehokas_ja_organisoitu!A45</f>
        <v>3.4</v>
      </c>
      <c r="D103" t="str">
        <f>Kustannustehokas_ja_organisoitu!C45</f>
        <v>A,B,C,D</v>
      </c>
      <c r="E103" t="str">
        <f>IF(ISBLANK(Kustannustehokas_ja_organisoitu!K45),"_Otsikkorivi",Kustannustehokas_ja_organisoitu!K45)</f>
        <v>Kustannustehokas ja organisoitu</v>
      </c>
      <c r="F103" t="str">
        <f>Kustannustehokas_ja_organisoitu!L45</f>
        <v>8. Käyttötalouden hallinta ja hankinnat ovat suunniteltuja, tehostettuja ja läpinäkyviä.</v>
      </c>
      <c r="G103" t="str">
        <f>IF(ISBLANK(Kustannustehokas_ja_organisoitu!R45),"Otsikkorivi",Kustannustehokas_ja_organisoitu!R45)</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3" t="str">
        <f>IF(Kustannustehokas_ja_organisoitu!N45="x","Kyllä","Ei")</f>
        <v>Ei</v>
      </c>
      <c r="I103" t="str">
        <f>IF(ISBLANK(Kustannustehokas_ja_organisoitu!S45),"",Kustannustehokas_ja_organisoitu!S45)</f>
        <v/>
      </c>
      <c r="J103">
        <f>LV!$B$10</f>
        <v>0</v>
      </c>
      <c r="K103" t="str">
        <f>LV!$I$18</f>
        <v/>
      </c>
      <c r="L103" t="str">
        <f>IF(ISBLANK(Lähtötiedot!$O$18),"",Lähtötiedot!$O$18)</f>
        <v/>
      </c>
      <c r="M103" t="str">
        <f>IF(ISBLANK(Lähtötiedot!$O$16),"",Lähtötiedot!$O$16)</f>
        <v/>
      </c>
      <c r="N103" s="73" t="str">
        <f>IF(ISBLANK(Lähtötiedot!$O$15),"",Lähtötiedot!$O$15)</f>
        <v/>
      </c>
      <c r="O103" s="73"/>
    </row>
    <row r="104" spans="1:15" x14ac:dyDescent="0.25">
      <c r="A104" t="str">
        <f>Kustannustehokas_ja_organisoitu!I46</f>
        <v>Ei kuulu</v>
      </c>
      <c r="B104" t="str">
        <f>Kustannustehokas_ja_organisoitu!P46</f>
        <v/>
      </c>
      <c r="C104" s="74">
        <f>Kustannustehokas_ja_organisoitu!A46</f>
        <v>5</v>
      </c>
      <c r="D104" t="str">
        <f>Kustannustehokas_ja_organisoitu!C46</f>
        <v>A,B,C,D</v>
      </c>
      <c r="E104" t="str">
        <f>IF(ISBLANK(Kustannustehokas_ja_organisoitu!K46),"_Otsikkorivi",Kustannustehokas_ja_organisoitu!K46)</f>
        <v>Kustannustehokas ja organisoitu</v>
      </c>
      <c r="F104" t="str">
        <f>Kustannustehokas_ja_organisoitu!L46</f>
        <v>8. Käyttötalouden hallinta ja hankinnat ovat suunniteltuja, tehostettuja ja läpinäkyviä.</v>
      </c>
      <c r="G104" t="str">
        <f>IF(ISBLANK(Kustannustehokas_ja_organisoitu!R46),"Otsikkorivi",Kustannustehokas_ja_organisoitu!R46)</f>
        <v>8.8 Vesihuoltolaitoksen hankintakriteereihin sisältyvät sosiaalinen ja ympäristövastuullisuus</v>
      </c>
      <c r="H104" t="str">
        <f>IF(Kustannustehokas_ja_organisoitu!N46="x","Kyllä","Ei")</f>
        <v>Ei</v>
      </c>
      <c r="I104" t="str">
        <f>IF(ISBLANK(Kustannustehokas_ja_organisoitu!S46),"",Kustannustehokas_ja_organisoitu!S46)</f>
        <v/>
      </c>
      <c r="J104">
        <f>LV!$B$10</f>
        <v>0</v>
      </c>
      <c r="K104" t="str">
        <f>LV!$I$18</f>
        <v/>
      </c>
      <c r="L104" t="str">
        <f>IF(ISBLANK(Lähtötiedot!$O$18),"",Lähtötiedot!$O$18)</f>
        <v/>
      </c>
      <c r="M104" t="str">
        <f>IF(ISBLANK(Lähtötiedot!$O$16),"",Lähtötiedot!$O$16)</f>
        <v/>
      </c>
      <c r="N104" s="73" t="str">
        <f>IF(ISBLANK(Lähtötiedot!$O$15),"",Lähtötiedot!$O$15)</f>
        <v/>
      </c>
      <c r="O104" s="73"/>
    </row>
    <row r="105" spans="1:15" hidden="1" x14ac:dyDescent="0.25">
      <c r="A105" t="str">
        <f>Kestävä_ja_kehittyvä!I5</f>
        <v>Ei kuulu</v>
      </c>
      <c r="B105" t="str">
        <f>Kestävä_ja_kehittyvä!P5</f>
        <v/>
      </c>
      <c r="C105" s="74" t="str">
        <f>Kestävä_ja_kehittyvä!A5</f>
        <v xml:space="preserve">1,2,3,4 </v>
      </c>
      <c r="D105" t="str">
        <f>Kestävä_ja_kehittyvä!C5</f>
        <v>A,B,C,D</v>
      </c>
      <c r="E105" t="str">
        <f>IF(ISBLANK(Kestävä_ja_kehittyvä!K5),"_Otsikkorivi",Kestävä_ja_kehittyvä!K5)</f>
        <v>Kestävä ja kehittyvä</v>
      </c>
      <c r="F105" t="str">
        <f>Kestävä_ja_kehittyvä!L5</f>
        <v>_Otsikkorivi</v>
      </c>
      <c r="G105" t="str">
        <f>IF(ISBLANK(Kestävä_ja_kehittyvä!R5),"Otsikkorivi",Kestävä_ja_kehittyvä!R5)</f>
        <v>9. Jätevesien käsittelyn ja johtamisen ympäristökuormitus minimoidaan</v>
      </c>
      <c r="H105" t="str">
        <f>IF(Kestävä_ja_kehittyvä!N5="x","Kyllä","Ei")</f>
        <v>Ei</v>
      </c>
      <c r="I105" t="str">
        <f>IF(ISBLANK(Kestävä_ja_kehittyvä!S5),"",Kestävä_ja_kehittyvä!S5)</f>
        <v/>
      </c>
      <c r="J105">
        <f>LV!$B$10</f>
        <v>0</v>
      </c>
      <c r="K105" t="str">
        <f>LV!$I$18</f>
        <v/>
      </c>
      <c r="L105" t="str">
        <f>IF(ISBLANK(Lähtötiedot!$O$18),"",Lähtötiedot!$O$18)</f>
        <v/>
      </c>
      <c r="M105" t="str">
        <f>IF(ISBLANK(Lähtötiedot!$O$16),"",Lähtötiedot!$O$16)</f>
        <v/>
      </c>
      <c r="N105" s="73" t="str">
        <f>IF(ISBLANK(Lähtötiedot!$O$15),"",Lähtötiedot!$O$15)</f>
        <v/>
      </c>
      <c r="O105" s="73"/>
    </row>
    <row r="106" spans="1:15" x14ac:dyDescent="0.25">
      <c r="A106" t="str">
        <f>Kestävä_ja_kehittyvä!I6</f>
        <v>Ei kuulu</v>
      </c>
      <c r="B106" t="str">
        <f>Kestävä_ja_kehittyvä!P6</f>
        <v/>
      </c>
      <c r="C106" s="74" t="str">
        <f>Kestävä_ja_kehittyvä!A6</f>
        <v>1,2,3,4</v>
      </c>
      <c r="D106" t="str">
        <f>Kestävä_ja_kehittyvä!C6</f>
        <v>C</v>
      </c>
      <c r="E106" t="str">
        <f>IF(ISBLANK(Kestävä_ja_kehittyvä!K6),"_Otsikkorivi",Kestävä_ja_kehittyvä!K6)</f>
        <v>Kestävä ja kehittyvä</v>
      </c>
      <c r="F106" t="str">
        <f>Kestävä_ja_kehittyvä!L6</f>
        <v>9. Jätevesien käsittelyn ja johtamisen ympäristökuormitus minimoidaan</v>
      </c>
      <c r="G106" t="str">
        <f>IF(ISBLANK(Kestävä_ja_kehittyvä!R6),"Otsikkorivi",Kestävä_ja_kehittyvä!R6)</f>
        <v>9.1 Jätevesiverkoston vuotovesiprosentti &lt; 30 %</v>
      </c>
      <c r="H106" t="str">
        <f>IF(Kestävä_ja_kehittyvä!N6="x","Kyllä","Ei")</f>
        <v>Kyllä</v>
      </c>
      <c r="I106" t="str">
        <f>IF(ISBLANK(Kestävä_ja_kehittyvä!S6),"",Kestävä_ja_kehittyvä!S6)</f>
        <v/>
      </c>
      <c r="J106">
        <f>LV!$B$10</f>
        <v>0</v>
      </c>
      <c r="K106" t="str">
        <f>LV!$I$18</f>
        <v/>
      </c>
      <c r="L106" t="str">
        <f>IF(ISBLANK(Lähtötiedot!$O$18),"",Lähtötiedot!$O$18)</f>
        <v/>
      </c>
      <c r="M106" t="str">
        <f>IF(ISBLANK(Lähtötiedot!$O$16),"",Lähtötiedot!$O$16)</f>
        <v/>
      </c>
      <c r="N106" s="73" t="str">
        <f>IF(ISBLANK(Lähtötiedot!$O$15),"",Lähtötiedot!$O$15)</f>
        <v/>
      </c>
      <c r="O106" s="73"/>
    </row>
    <row r="107" spans="1:15" x14ac:dyDescent="0.25">
      <c r="A107" t="str">
        <f>Kestävä_ja_kehittyvä!I7</f>
        <v>Ei kuulu</v>
      </c>
      <c r="B107" t="str">
        <f>Kestävä_ja_kehittyvä!P7</f>
        <v/>
      </c>
      <c r="C107" s="74" t="str">
        <f>Kestävä_ja_kehittyvä!A7</f>
        <v>1,2,3,4</v>
      </c>
      <c r="D107" t="str">
        <f>Kestävä_ja_kehittyvä!C7</f>
        <v>C</v>
      </c>
      <c r="E107" t="str">
        <f>IF(ISBLANK(Kestävä_ja_kehittyvä!K7),"_Otsikkorivi",Kestävä_ja_kehittyvä!K7)</f>
        <v>Kestävä ja kehittyvä</v>
      </c>
      <c r="F107" t="str">
        <f>Kestävä_ja_kehittyvä!L7</f>
        <v>9. Jätevesien käsittelyn ja johtamisen ympäristökuormitus minimoidaan</v>
      </c>
      <c r="G107" t="str">
        <f>IF(ISBLANK(Kestävä_ja_kehittyvä!R7),"Otsikkorivi",Kestävä_ja_kehittyvä!R7)</f>
        <v>9.2 Viemäritukosten määrä &lt; 5 kpl/100 km/v</v>
      </c>
      <c r="H107" t="str">
        <f>IF(Kestävä_ja_kehittyvä!N7="x","Kyllä","Ei")</f>
        <v>Kyllä</v>
      </c>
      <c r="I107" t="str">
        <f>IF(ISBLANK(Kestävä_ja_kehittyvä!S7),"",Kestävä_ja_kehittyvä!S7)</f>
        <v/>
      </c>
      <c r="J107">
        <f>LV!$B$10</f>
        <v>0</v>
      </c>
      <c r="K107" t="str">
        <f>LV!$I$18</f>
        <v/>
      </c>
      <c r="L107" t="str">
        <f>IF(ISBLANK(Lähtötiedot!$O$18),"",Lähtötiedot!$O$18)</f>
        <v/>
      </c>
      <c r="M107" t="str">
        <f>IF(ISBLANK(Lähtötiedot!$O$16),"",Lähtötiedot!$O$16)</f>
        <v/>
      </c>
      <c r="N107" s="73" t="str">
        <f>IF(ISBLANK(Lähtötiedot!$O$15),"",Lähtötiedot!$O$15)</f>
        <v/>
      </c>
      <c r="O107" s="73"/>
    </row>
    <row r="108" spans="1:15" x14ac:dyDescent="0.25">
      <c r="A108" t="str">
        <f>Kestävä_ja_kehittyvä!I8</f>
        <v>Ei kuulu</v>
      </c>
      <c r="B108" t="str">
        <f>Kestävä_ja_kehittyvä!P8</f>
        <v/>
      </c>
      <c r="C108" s="74" t="str">
        <f>Kestävä_ja_kehittyvä!A8</f>
        <v>1,2,3,4</v>
      </c>
      <c r="D108" t="str">
        <f>Kestävä_ja_kehittyvä!C8</f>
        <v>D</v>
      </c>
      <c r="E108" t="str">
        <f>IF(ISBLANK(Kestävä_ja_kehittyvä!K8),"_Otsikkorivi",Kestävä_ja_kehittyvä!K8)</f>
        <v>Kestävä ja kehittyvä</v>
      </c>
      <c r="F108" t="str">
        <f>Kestävä_ja_kehittyvä!L8</f>
        <v>9. Jätevesien käsittelyn ja johtamisen ympäristökuormitus minimoidaan</v>
      </c>
      <c r="G108" t="str">
        <f>IF(ISBLANK(Kestävä_ja_kehittyvä!R8),"Otsikkorivi",Kestävä_ja_kehittyvä!R8)</f>
        <v>9.3 Laitosohitusten määrä jätevedestä &lt; 0,5 %</v>
      </c>
      <c r="H108" t="str">
        <f>IF(Kestävä_ja_kehittyvä!N8="x","Kyllä","Ei")</f>
        <v>Kyllä</v>
      </c>
      <c r="I108" t="str">
        <f>IF(ISBLANK(Kestävä_ja_kehittyvä!S8),"",Kestävä_ja_kehittyvä!S8)</f>
        <v/>
      </c>
      <c r="J108">
        <f>LV!$B$10</f>
        <v>0</v>
      </c>
      <c r="K108" t="str">
        <f>LV!$I$18</f>
        <v/>
      </c>
      <c r="L108" t="str">
        <f>IF(ISBLANK(Lähtötiedot!$O$18),"",Lähtötiedot!$O$18)</f>
        <v/>
      </c>
      <c r="M108" t="str">
        <f>IF(ISBLANK(Lähtötiedot!$O$16),"",Lähtötiedot!$O$16)</f>
        <v/>
      </c>
      <c r="N108" s="73" t="str">
        <f>IF(ISBLANK(Lähtötiedot!$O$15),"",Lähtötiedot!$O$15)</f>
        <v/>
      </c>
      <c r="O108" s="73"/>
    </row>
    <row r="109" spans="1:15" x14ac:dyDescent="0.25">
      <c r="A109" t="str">
        <f>Kestävä_ja_kehittyvä!I9</f>
        <v>Ei kuulu</v>
      </c>
      <c r="B109" t="str">
        <f>Kestävä_ja_kehittyvä!P9</f>
        <v/>
      </c>
      <c r="C109" s="74" t="str">
        <f>Kestävä_ja_kehittyvä!A9</f>
        <v>1,2,3,4</v>
      </c>
      <c r="D109" t="str">
        <f>Kestävä_ja_kehittyvä!C9</f>
        <v>C</v>
      </c>
      <c r="E109" t="str">
        <f>IF(ISBLANK(Kestävä_ja_kehittyvä!K9),"_Otsikkorivi",Kestävä_ja_kehittyvä!K9)</f>
        <v>Kestävä ja kehittyvä</v>
      </c>
      <c r="F109" t="str">
        <f>Kestävä_ja_kehittyvä!L9</f>
        <v>9. Jätevesien käsittelyn ja johtamisen ympäristökuormitus minimoidaan</v>
      </c>
      <c r="G109" t="str">
        <f>IF(ISBLANK(Kestävä_ja_kehittyvä!R9),"Otsikkorivi",Kestävä_ja_kehittyvä!R9)</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09" t="str">
        <f>IF(Kestävä_ja_kehittyvä!N9="x","Kyllä","Ei")</f>
        <v>Ei</v>
      </c>
      <c r="I109" t="str">
        <f>IF(ISBLANK(Kestävä_ja_kehittyvä!S9),"",Kestävä_ja_kehittyvä!S9)</f>
        <v/>
      </c>
      <c r="J109">
        <f>LV!$B$10</f>
        <v>0</v>
      </c>
      <c r="K109" t="str">
        <f>LV!$I$18</f>
        <v/>
      </c>
      <c r="L109" t="str">
        <f>IF(ISBLANK(Lähtötiedot!$O$18),"",Lähtötiedot!$O$18)</f>
        <v/>
      </c>
      <c r="M109" t="str">
        <f>IF(ISBLANK(Lähtötiedot!$O$16),"",Lähtötiedot!$O$16)</f>
        <v/>
      </c>
      <c r="N109" s="73" t="str">
        <f>IF(ISBLANK(Lähtötiedot!$O$15),"",Lähtötiedot!$O$15)</f>
        <v/>
      </c>
      <c r="O109" s="73"/>
    </row>
    <row r="110" spans="1:15" x14ac:dyDescent="0.25">
      <c r="A110" t="str">
        <f>Kestävä_ja_kehittyvä!I10</f>
        <v>Ei kuulu</v>
      </c>
      <c r="B110" t="str">
        <f>Kestävä_ja_kehittyvä!P10</f>
        <v/>
      </c>
      <c r="C110" s="74" t="str">
        <f>Kestävä_ja_kehittyvä!A10</f>
        <v>2,3,4</v>
      </c>
      <c r="D110" t="str">
        <f>Kestävä_ja_kehittyvä!C10</f>
        <v>C</v>
      </c>
      <c r="E110" t="str">
        <f>IF(ISBLANK(Kestävä_ja_kehittyvä!K10),"_Otsikkorivi",Kestävä_ja_kehittyvä!K10)</f>
        <v>Kestävä ja kehittyvä</v>
      </c>
      <c r="F110" t="str">
        <f>Kestävä_ja_kehittyvä!L10</f>
        <v>9. Jätevesien käsittelyn ja johtamisen ympäristökuormitus minimoidaan</v>
      </c>
      <c r="G110" t="str">
        <f>IF(ISBLANK(Kestävä_ja_kehittyvä!R10),"Otsikkorivi",Kestävä_ja_kehittyvä!R10)</f>
        <v xml:space="preserve">9.5 Vesihuoltolaitoksen sekaviemäröinnin vähentämisestä on tehty suunnitelma ja sitä vähennetään vuosittain </v>
      </c>
      <c r="H110" t="str">
        <f>IF(Kestävä_ja_kehittyvä!N10="x","Kyllä","Ei")</f>
        <v>Kyllä</v>
      </c>
      <c r="I110" t="str">
        <f>IF(ISBLANK(Kestävä_ja_kehittyvä!S10),"",Kestävä_ja_kehittyvä!S10)</f>
        <v/>
      </c>
      <c r="J110">
        <f>LV!$B$10</f>
        <v>0</v>
      </c>
      <c r="K110" t="str">
        <f>LV!$I$18</f>
        <v/>
      </c>
      <c r="L110" t="str">
        <f>IF(ISBLANK(Lähtötiedot!$O$18),"",Lähtötiedot!$O$18)</f>
        <v/>
      </c>
      <c r="M110" t="str">
        <f>IF(ISBLANK(Lähtötiedot!$O$16),"",Lähtötiedot!$O$16)</f>
        <v/>
      </c>
      <c r="N110" s="73" t="str">
        <f>IF(ISBLANK(Lähtötiedot!$O$15),"",Lähtötiedot!$O$15)</f>
        <v/>
      </c>
      <c r="O110" s="73"/>
    </row>
    <row r="111" spans="1:15" x14ac:dyDescent="0.25">
      <c r="A111" t="str">
        <f>Kestävä_ja_kehittyvä!I11</f>
        <v>Ei kuulu</v>
      </c>
      <c r="B111" t="str">
        <f>Kestävä_ja_kehittyvä!P11</f>
        <v/>
      </c>
      <c r="C111" s="74">
        <f>Kestävä_ja_kehittyvä!A11</f>
        <v>3.4</v>
      </c>
      <c r="D111" t="str">
        <f>Kestävä_ja_kehittyvä!C11</f>
        <v>C</v>
      </c>
      <c r="E111" t="str">
        <f>IF(ISBLANK(Kestävä_ja_kehittyvä!K11),"_Otsikkorivi",Kestävä_ja_kehittyvä!K11)</f>
        <v>Kestävä ja kehittyvä</v>
      </c>
      <c r="F111" t="str">
        <f>Kestävä_ja_kehittyvä!L11</f>
        <v>9. Jätevesien käsittelyn ja johtamisen ympäristökuormitus minimoidaan</v>
      </c>
      <c r="G111" t="str">
        <f>IF(ISBLANK(Kestävä_ja_kehittyvä!R11),"Otsikkorivi",Kestävä_ja_kehittyvä!R11)</f>
        <v xml:space="preserve">9.6 Vesihuoltolaitoksen viemäriverkoston vuotoja mitataan ja seurataan ja vuotavuusprosentti on määritelty soveltuvin osin pumppaamo- ja verkostoalueittain.  </v>
      </c>
      <c r="H111" t="str">
        <f>IF(Kestävä_ja_kehittyvä!N11="x","Kyllä","Ei")</f>
        <v>Ei</v>
      </c>
      <c r="I111" t="str">
        <f>IF(ISBLANK(Kestävä_ja_kehittyvä!S11),"",Kestävä_ja_kehittyvä!S11)</f>
        <v/>
      </c>
      <c r="J111">
        <f>LV!$B$10</f>
        <v>0</v>
      </c>
      <c r="K111" t="str">
        <f>LV!$I$18</f>
        <v/>
      </c>
      <c r="L111" t="str">
        <f>IF(ISBLANK(Lähtötiedot!$O$18),"",Lähtötiedot!$O$18)</f>
        <v/>
      </c>
      <c r="M111" t="str">
        <f>IF(ISBLANK(Lähtötiedot!$O$16),"",Lähtötiedot!$O$16)</f>
        <v/>
      </c>
      <c r="N111" s="73" t="str">
        <f>IF(ISBLANK(Lähtötiedot!$O$15),"",Lähtötiedot!$O$15)</f>
        <v/>
      </c>
      <c r="O111" s="73"/>
    </row>
    <row r="112" spans="1:15" x14ac:dyDescent="0.25">
      <c r="A112" t="str">
        <f>Kestävä_ja_kehittyvä!I12</f>
        <v>Ei kuulu</v>
      </c>
      <c r="B112" t="str">
        <f>Kestävä_ja_kehittyvä!P12</f>
        <v/>
      </c>
      <c r="C112" s="74">
        <f>Kestävä_ja_kehittyvä!A12</f>
        <v>3.4</v>
      </c>
      <c r="D112" t="str">
        <f>Kestävä_ja_kehittyvä!C12</f>
        <v>C</v>
      </c>
      <c r="E112" t="str">
        <f>IF(ISBLANK(Kestävä_ja_kehittyvä!K12),"_Otsikkorivi",Kestävä_ja_kehittyvä!K12)</f>
        <v>Kestävä ja kehittyvä</v>
      </c>
      <c r="F112" t="str">
        <f>Kestävä_ja_kehittyvä!L12</f>
        <v>9. Jätevesien käsittelyn ja johtamisen ympäristökuormitus minimoidaan</v>
      </c>
      <c r="G112" t="str">
        <f>IF(ISBLANK(Kestävä_ja_kehittyvä!R12),"Otsikkorivi",Kestävä_ja_kehittyvä!R12)</f>
        <v>9.7 Vesihuoltolaitos on laatinut vuotovesien hallintasuunnitelman ja vuosittaisen investointisuunnitelman vuotovesien vähentämiseksi ja sitä toteutetaan.</v>
      </c>
      <c r="H112" t="str">
        <f>IF(Kestävä_ja_kehittyvä!N12="x","Kyllä","Ei")</f>
        <v>Ei</v>
      </c>
      <c r="I112" t="str">
        <f>IF(ISBLANK(Kestävä_ja_kehittyvä!S12),"",Kestävä_ja_kehittyvä!S12)</f>
        <v/>
      </c>
      <c r="J112">
        <f>LV!$B$10</f>
        <v>0</v>
      </c>
      <c r="K112" t="str">
        <f>LV!$I$18</f>
        <v/>
      </c>
      <c r="L112" t="str">
        <f>IF(ISBLANK(Lähtötiedot!$O$18),"",Lähtötiedot!$O$18)</f>
        <v/>
      </c>
      <c r="M112" t="str">
        <f>IF(ISBLANK(Lähtötiedot!$O$16),"",Lähtötiedot!$O$16)</f>
        <v/>
      </c>
      <c r="N112" s="73" t="str">
        <f>IF(ISBLANK(Lähtötiedot!$O$15),"",Lähtötiedot!$O$15)</f>
        <v/>
      </c>
      <c r="O112" s="73"/>
    </row>
    <row r="113" spans="1:15" x14ac:dyDescent="0.25">
      <c r="A113" t="str">
        <f>Kestävä_ja_kehittyvä!I13</f>
        <v>Ei kuulu</v>
      </c>
      <c r="B113" t="str">
        <f>Kestävä_ja_kehittyvä!P13</f>
        <v/>
      </c>
      <c r="C113" s="74">
        <f>Kestävä_ja_kehittyvä!A13</f>
        <v>3.4</v>
      </c>
      <c r="D113" t="str">
        <f>Kestävä_ja_kehittyvä!C13</f>
        <v>D</v>
      </c>
      <c r="E113" t="str">
        <f>IF(ISBLANK(Kestävä_ja_kehittyvä!K13),"_Otsikkorivi",Kestävä_ja_kehittyvä!K13)</f>
        <v>Kestävä ja kehittyvä</v>
      </c>
      <c r="F113" t="str">
        <f>Kestävä_ja_kehittyvä!L13</f>
        <v>9. Jätevesien käsittelyn ja johtamisen ympäristökuormitus minimoidaan</v>
      </c>
      <c r="G113" t="str">
        <f>IF(ISBLANK(Kestävä_ja_kehittyvä!R13),"Otsikkorivi",Kestävä_ja_kehittyvä!R13)</f>
        <v>9.8 Vesihuoltolaitos on liittynyt vesiensuojelusopimukseen (Green Deal), tavoitteena vapaaehtoisesti vähentää kuormitusta alle lupaehtojen.</v>
      </c>
      <c r="H113" t="str">
        <f>IF(Kestävä_ja_kehittyvä!N13="x","Kyllä","Ei")</f>
        <v>Ei</v>
      </c>
      <c r="I113" t="str">
        <f>IF(ISBLANK(Kestävä_ja_kehittyvä!S13),"",Kestävä_ja_kehittyvä!S13)</f>
        <v/>
      </c>
      <c r="J113">
        <f>LV!$B$10</f>
        <v>0</v>
      </c>
      <c r="K113" t="str">
        <f>LV!$I$18</f>
        <v/>
      </c>
      <c r="L113" t="str">
        <f>IF(ISBLANK(Lähtötiedot!$O$18),"",Lähtötiedot!$O$18)</f>
        <v/>
      </c>
      <c r="M113" t="str">
        <f>IF(ISBLANK(Lähtötiedot!$O$16),"",Lähtötiedot!$O$16)</f>
        <v/>
      </c>
      <c r="N113" s="73" t="str">
        <f>IF(ISBLANK(Lähtötiedot!$O$15),"",Lähtötiedot!$O$15)</f>
        <v/>
      </c>
      <c r="O113" s="73"/>
    </row>
    <row r="114" spans="1:15" hidden="1" x14ac:dyDescent="0.25">
      <c r="A114" t="str">
        <f>Kestävä_ja_kehittyvä!I14</f>
        <v>Ei kuulu</v>
      </c>
      <c r="B114" t="str">
        <f>Kestävä_ja_kehittyvä!P14</f>
        <v/>
      </c>
      <c r="C114" s="74" t="str">
        <f>Kestävä_ja_kehittyvä!A14</f>
        <v xml:space="preserve">1,2,3,4 </v>
      </c>
      <c r="D114" t="str">
        <f>Kestävä_ja_kehittyvä!C14</f>
        <v>A,B,C,D</v>
      </c>
      <c r="E114" t="str">
        <f>IF(ISBLANK(Kestävä_ja_kehittyvä!K14),"_Otsikkorivi",Kestävä_ja_kehittyvä!K14)</f>
        <v>Kestävä ja kehittyvä</v>
      </c>
      <c r="F114" t="str">
        <f>Kestävä_ja_kehittyvä!L14</f>
        <v>_Otsikkorivi</v>
      </c>
      <c r="G114" t="str">
        <f>IF(ISBLANK(Kestävä_ja_kehittyvä!R14),"Otsikkorivi",Kestävä_ja_kehittyvä!R14)</f>
        <v>10. Kestävä ja energiatehokas</v>
      </c>
      <c r="H114" t="str">
        <f>IF(Kestävä_ja_kehittyvä!N14="x","Kyllä","Ei")</f>
        <v>Ei</v>
      </c>
      <c r="I114" t="str">
        <f>IF(ISBLANK(Kestävä_ja_kehittyvä!S14),"",Kestävä_ja_kehittyvä!S14)</f>
        <v/>
      </c>
      <c r="J114">
        <f>LV!$B$10</f>
        <v>0</v>
      </c>
      <c r="K114" t="str">
        <f>LV!$I$18</f>
        <v/>
      </c>
      <c r="L114" t="str">
        <f>IF(ISBLANK(Lähtötiedot!$O$18),"",Lähtötiedot!$O$18)</f>
        <v/>
      </c>
      <c r="M114" t="str">
        <f>IF(ISBLANK(Lähtötiedot!$O$16),"",Lähtötiedot!$O$16)</f>
        <v/>
      </c>
      <c r="N114" s="73" t="str">
        <f>IF(ISBLANK(Lähtötiedot!$O$15),"",Lähtötiedot!$O$15)</f>
        <v/>
      </c>
      <c r="O114" s="73"/>
    </row>
    <row r="115" spans="1:15" x14ac:dyDescent="0.25">
      <c r="A115" t="str">
        <f>Kestävä_ja_kehittyvä!I15</f>
        <v>Ei kuulu</v>
      </c>
      <c r="B115" t="str">
        <f>Kestävä_ja_kehittyvä!P15</f>
        <v/>
      </c>
      <c r="C115" s="74">
        <f>Kestävä_ja_kehittyvä!A15</f>
        <v>1</v>
      </c>
      <c r="D115" t="str">
        <f>Kestävä_ja_kehittyvä!C15</f>
        <v>A,B,C,D</v>
      </c>
      <c r="E115" t="str">
        <f>IF(ISBLANK(Kestävä_ja_kehittyvä!K15),"_Otsikkorivi",Kestävä_ja_kehittyvä!K15)</f>
        <v>Kestävä ja kehittyvä</v>
      </c>
      <c r="F115" t="str">
        <f>Kestävä_ja_kehittyvä!L15</f>
        <v>10. Kestävä ja energiatehokas</v>
      </c>
      <c r="G115" t="str">
        <f>IF(ISBLANK(Kestävä_ja_kehittyvä!R15),"Otsikkorivi",Kestävä_ja_kehittyvä!R15)</f>
        <v xml:space="preserve">10.1 Vesihuoltolaitoksen energiankulutusta seurataan ja siihen kiinnitetään huomiota </v>
      </c>
      <c r="H115" t="str">
        <f>IF(Kestävä_ja_kehittyvä!N15="x","Kyllä","Ei")</f>
        <v>Ei</v>
      </c>
      <c r="I115" t="str">
        <f>IF(ISBLANK(Kestävä_ja_kehittyvä!S15),"",Kestävä_ja_kehittyvä!S15)</f>
        <v/>
      </c>
      <c r="J115">
        <f>LV!$B$10</f>
        <v>0</v>
      </c>
      <c r="K115" t="str">
        <f>LV!$I$18</f>
        <v/>
      </c>
      <c r="L115" t="str">
        <f>IF(ISBLANK(Lähtötiedot!$O$18),"",Lähtötiedot!$O$18)</f>
        <v/>
      </c>
      <c r="M115" t="str">
        <f>IF(ISBLANK(Lähtötiedot!$O$16),"",Lähtötiedot!$O$16)</f>
        <v/>
      </c>
      <c r="N115" s="73" t="str">
        <f>IF(ISBLANK(Lähtötiedot!$O$15),"",Lähtötiedot!$O$15)</f>
        <v/>
      </c>
      <c r="O115" s="73"/>
    </row>
    <row r="116" spans="1:15" x14ac:dyDescent="0.25">
      <c r="A116" t="str">
        <f>Kestävä_ja_kehittyvä!I16</f>
        <v>Ei kuulu</v>
      </c>
      <c r="B116" t="str">
        <f>Kestävä_ja_kehittyvä!P16</f>
        <v/>
      </c>
      <c r="C116" s="74" t="str">
        <f>Kestävä_ja_kehittyvä!A16</f>
        <v>2,3,4</v>
      </c>
      <c r="D116" t="str">
        <f>Kestävä_ja_kehittyvä!C16</f>
        <v>A,B,C,D</v>
      </c>
      <c r="E116" t="str">
        <f>IF(ISBLANK(Kestävä_ja_kehittyvä!K16),"_Otsikkorivi",Kestävä_ja_kehittyvä!K16)</f>
        <v>Kestävä ja kehittyvä</v>
      </c>
      <c r="F116" t="str">
        <f>Kestävä_ja_kehittyvä!L16</f>
        <v>10. Kestävä ja energiatehokas</v>
      </c>
      <c r="G116" t="str">
        <f>IF(ISBLANK(Kestävä_ja_kehittyvä!R16),"Otsikkorivi",Kestävä_ja_kehittyvä!R16)</f>
        <v>10.1 Vesihuoltolaitoksen energiankulutusta mitataan ja seura-taan vesihuoltolaitoksella osa-alueittain (esim. pumppaukset tai muut merkittävimmät energiankulutuskohteet).</v>
      </c>
      <c r="H116" t="str">
        <f>IF(Kestävä_ja_kehittyvä!N16="x","Kyllä","Ei")</f>
        <v>Ei</v>
      </c>
      <c r="I116" t="str">
        <f>IF(ISBLANK(Kestävä_ja_kehittyvä!S16),"",Kestävä_ja_kehittyvä!S16)</f>
        <v/>
      </c>
      <c r="J116">
        <f>LV!$B$10</f>
        <v>0</v>
      </c>
      <c r="K116" t="str">
        <f>LV!$I$18</f>
        <v/>
      </c>
      <c r="L116" t="str">
        <f>IF(ISBLANK(Lähtötiedot!$O$18),"",Lähtötiedot!$O$18)</f>
        <v/>
      </c>
      <c r="M116" t="str">
        <f>IF(ISBLANK(Lähtötiedot!$O$16),"",Lähtötiedot!$O$16)</f>
        <v/>
      </c>
      <c r="N116" s="73" t="str">
        <f>IF(ISBLANK(Lähtötiedot!$O$15),"",Lähtötiedot!$O$15)</f>
        <v/>
      </c>
      <c r="O116" s="73"/>
    </row>
    <row r="117" spans="1:15" x14ac:dyDescent="0.25">
      <c r="A117" t="str">
        <f>Kestävä_ja_kehittyvä!I17</f>
        <v>Ei kuulu</v>
      </c>
      <c r="B117" t="str">
        <f>Kestävä_ja_kehittyvä!P17</f>
        <v/>
      </c>
      <c r="C117" s="74" t="str">
        <f>Kestävä_ja_kehittyvä!A17</f>
        <v>1,2,3,4</v>
      </c>
      <c r="D117" t="str">
        <f>Kestävä_ja_kehittyvä!C17</f>
        <v>A,B,C,D</v>
      </c>
      <c r="E117" t="str">
        <f>IF(ISBLANK(Kestävä_ja_kehittyvä!K17),"_Otsikkorivi",Kestävä_ja_kehittyvä!K17)</f>
        <v>Kestävä ja kehittyvä</v>
      </c>
      <c r="F117" t="str">
        <f>Kestävä_ja_kehittyvä!L17</f>
        <v>10. Kestävä ja energiatehokas</v>
      </c>
      <c r="G117" t="str">
        <f>IF(ISBLANK(Kestävä_ja_kehittyvä!R17),"Otsikkorivi",Kestävä_ja_kehittyvä!R17)</f>
        <v>10.2 Vesihuoltolaitos tekee systemaattista riskinarviointia ja riskienhallintaa työturvallisuuden osalta sisältäen mm. kemiallisten ja biologisten vaarojen arvioinnin.</v>
      </c>
      <c r="H117" t="str">
        <f>IF(Kestävä_ja_kehittyvä!N17="x","Kyllä","Ei")</f>
        <v>Ei</v>
      </c>
      <c r="I117" t="str">
        <f>IF(ISBLANK(Kestävä_ja_kehittyvä!S17),"",Kestävä_ja_kehittyvä!S17)</f>
        <v/>
      </c>
      <c r="J117">
        <f>LV!$B$10</f>
        <v>0</v>
      </c>
      <c r="K117" t="str">
        <f>LV!$I$18</f>
        <v/>
      </c>
      <c r="L117" t="str">
        <f>IF(ISBLANK(Lähtötiedot!$O$18),"",Lähtötiedot!$O$18)</f>
        <v/>
      </c>
      <c r="M117" t="str">
        <f>IF(ISBLANK(Lähtötiedot!$O$16),"",Lähtötiedot!$O$16)</f>
        <v/>
      </c>
      <c r="N117" s="73" t="str">
        <f>IF(ISBLANK(Lähtötiedot!$O$15),"",Lähtötiedot!$O$15)</f>
        <v/>
      </c>
      <c r="O117" s="73"/>
    </row>
    <row r="118" spans="1:15" x14ac:dyDescent="0.25">
      <c r="A118" t="str">
        <f>Kestävä_ja_kehittyvä!I18</f>
        <v>Ei kuulu</v>
      </c>
      <c r="B118" t="str">
        <f>Kestävä_ja_kehittyvä!P18</f>
        <v/>
      </c>
      <c r="C118" s="74" t="str">
        <f>Kestävä_ja_kehittyvä!A18</f>
        <v>2,3,4</v>
      </c>
      <c r="D118" t="str">
        <f>Kestävä_ja_kehittyvä!C18</f>
        <v>C</v>
      </c>
      <c r="E118" t="str">
        <f>IF(ISBLANK(Kestävä_ja_kehittyvä!K18),"_Otsikkorivi",Kestävä_ja_kehittyvä!K18)</f>
        <v>Kestävä ja kehittyvä</v>
      </c>
      <c r="F118" t="str">
        <f>Kestävä_ja_kehittyvä!L18</f>
        <v>10. Kestävä ja energiatehokas</v>
      </c>
      <c r="G118" t="str">
        <f>IF(ISBLANK(Kestävä_ja_kehittyvä!R18),"Otsikkorivi",Kestävä_ja_kehittyvä!R18)</f>
        <v xml:space="preserve">10.3 Vesihuoltolaitoksen toiminta-alueen asukkaille on kohdistettu neuvontaa luvattomien viemäriliitosten poistamiseksi (esimerkiksi huleveden ja/tai perustusten kuivatusveden johtaminen jätevesiviemäriin ilman lupaa). </v>
      </c>
      <c r="H118" t="str">
        <f>IF(Kestävä_ja_kehittyvä!N18="x","Kyllä","Ei")</f>
        <v>Ei</v>
      </c>
      <c r="I118" t="str">
        <f>IF(ISBLANK(Kestävä_ja_kehittyvä!S18),"",Kestävä_ja_kehittyvä!S18)</f>
        <v/>
      </c>
      <c r="J118">
        <f>LV!$B$10</f>
        <v>0</v>
      </c>
      <c r="K118" t="str">
        <f>LV!$I$18</f>
        <v/>
      </c>
      <c r="L118" t="str">
        <f>IF(ISBLANK(Lähtötiedot!$O$18),"",Lähtötiedot!$O$18)</f>
        <v/>
      </c>
      <c r="M118" t="str">
        <f>IF(ISBLANK(Lähtötiedot!$O$16),"",Lähtötiedot!$O$16)</f>
        <v/>
      </c>
      <c r="N118" s="73" t="str">
        <f>IF(ISBLANK(Lähtötiedot!$O$15),"",Lähtötiedot!$O$15)</f>
        <v/>
      </c>
      <c r="O118" s="73"/>
    </row>
    <row r="119" spans="1:15" x14ac:dyDescent="0.25">
      <c r="A119" t="str">
        <f>Kestävä_ja_kehittyvä!I19</f>
        <v>Ei kuulu</v>
      </c>
      <c r="B119" t="str">
        <f>Kestävä_ja_kehittyvä!P19</f>
        <v/>
      </c>
      <c r="C119" s="74" t="str">
        <f>Kestävä_ja_kehittyvä!A19</f>
        <v>2,3,4</v>
      </c>
      <c r="D119" t="str">
        <f>Kestävä_ja_kehittyvä!C19</f>
        <v>C</v>
      </c>
      <c r="E119" t="str">
        <f>IF(ISBLANK(Kestävä_ja_kehittyvä!K19),"_Otsikkorivi",Kestävä_ja_kehittyvä!K19)</f>
        <v>Kestävä ja kehittyvä</v>
      </c>
      <c r="F119" t="str">
        <f>Kestävä_ja_kehittyvä!L19</f>
        <v>10. Kestävä ja energiatehokas</v>
      </c>
      <c r="G119" t="str">
        <f>IF(ISBLANK(Kestävä_ja_kehittyvä!R19),"Otsikkorivi",Kestävä_ja_kehittyvä!R19)</f>
        <v>10.4 Taloudelliset ohjauskeinot luvattomien viemäriliitosten poistamiseksi ovat aidosti käytössä eli korotettuja maksuja peritään tarvittaessa.</v>
      </c>
      <c r="H119" t="str">
        <f>IF(Kestävä_ja_kehittyvä!N19="x","Kyllä","Ei")</f>
        <v>Ei</v>
      </c>
      <c r="I119" t="str">
        <f>IF(ISBLANK(Kestävä_ja_kehittyvä!S19),"",Kestävä_ja_kehittyvä!S19)</f>
        <v/>
      </c>
      <c r="J119">
        <f>LV!$B$10</f>
        <v>0</v>
      </c>
      <c r="K119" t="str">
        <f>LV!$I$18</f>
        <v/>
      </c>
      <c r="L119" t="str">
        <f>IF(ISBLANK(Lähtötiedot!$O$18),"",Lähtötiedot!$O$18)</f>
        <v/>
      </c>
      <c r="M119" t="str">
        <f>IF(ISBLANK(Lähtötiedot!$O$16),"",Lähtötiedot!$O$16)</f>
        <v/>
      </c>
      <c r="N119" s="73" t="str">
        <f>IF(ISBLANK(Lähtötiedot!$O$15),"",Lähtötiedot!$O$15)</f>
        <v/>
      </c>
      <c r="O119" s="73"/>
    </row>
    <row r="120" spans="1:15" x14ac:dyDescent="0.25">
      <c r="A120" t="str">
        <f>Kestävä_ja_kehittyvä!I20</f>
        <v>Ei kuulu</v>
      </c>
      <c r="B120" t="str">
        <f>Kestävä_ja_kehittyvä!P20</f>
        <v/>
      </c>
      <c r="C120" s="74">
        <f>Kestävä_ja_kehittyvä!A20</f>
        <v>3.4</v>
      </c>
      <c r="D120" t="str">
        <f>Kestävä_ja_kehittyvä!C20</f>
        <v>A,B,C,D</v>
      </c>
      <c r="E120" t="str">
        <f>IF(ISBLANK(Kestävä_ja_kehittyvä!K20),"_Otsikkorivi",Kestävä_ja_kehittyvä!K20)</f>
        <v>Kestävä ja kehittyvä</v>
      </c>
      <c r="F120" t="str">
        <f>Kestävä_ja_kehittyvä!L20</f>
        <v>10. Kestävä ja energiatehokas</v>
      </c>
      <c r="G120" t="str">
        <f>IF(ISBLANK(Kestävä_ja_kehittyvä!R20),"Otsikkorivi",Kestävä_ja_kehittyvä!R20)</f>
        <v>10.5 Vesihuoltolaitos laatii ja julkaisee ympäristötilinpäätöksen vuosittain.</v>
      </c>
      <c r="H120" t="str">
        <f>IF(Kestävä_ja_kehittyvä!N20="x","Kyllä","Ei")</f>
        <v>Ei</v>
      </c>
      <c r="I120" t="str">
        <f>IF(ISBLANK(Kestävä_ja_kehittyvä!S20),"",Kestävä_ja_kehittyvä!S20)</f>
        <v/>
      </c>
      <c r="J120">
        <f>LV!$B$10</f>
        <v>0</v>
      </c>
      <c r="K120" t="str">
        <f>LV!$I$18</f>
        <v/>
      </c>
      <c r="L120" t="str">
        <f>IF(ISBLANK(Lähtötiedot!$O$18),"",Lähtötiedot!$O$18)</f>
        <v/>
      </c>
      <c r="M120" t="str">
        <f>IF(ISBLANK(Lähtötiedot!$O$16),"",Lähtötiedot!$O$16)</f>
        <v/>
      </c>
      <c r="N120" s="73" t="str">
        <f>IF(ISBLANK(Lähtötiedot!$O$15),"",Lähtötiedot!$O$15)</f>
        <v/>
      </c>
      <c r="O120" s="73"/>
    </row>
    <row r="121" spans="1:15" x14ac:dyDescent="0.25">
      <c r="A121" t="str">
        <f>Kestävä_ja_kehittyvä!I21</f>
        <v>Ei kuulu</v>
      </c>
      <c r="B121" t="str">
        <f>Kestävä_ja_kehittyvä!P21</f>
        <v/>
      </c>
      <c r="C121" s="74">
        <f>Kestävä_ja_kehittyvä!A21</f>
        <v>3.4</v>
      </c>
      <c r="D121" t="str">
        <f>Kestävä_ja_kehittyvä!C21</f>
        <v>A,B,C,D</v>
      </c>
      <c r="E121" t="str">
        <f>IF(ISBLANK(Kestävä_ja_kehittyvä!K21),"_Otsikkorivi",Kestävä_ja_kehittyvä!K21)</f>
        <v>Kestävä ja kehittyvä</v>
      </c>
      <c r="F121" t="str">
        <f>Kestävä_ja_kehittyvä!L21</f>
        <v>10. Kestävä ja energiatehokas</v>
      </c>
      <c r="G121" t="str">
        <f>IF(ISBLANK(Kestävä_ja_kehittyvä!R21),"Otsikkorivi",Kestävä_ja_kehittyvä!R21)</f>
        <v>10.6 Vesihuoltolaitoksen hiilijalanjälki on laskettu ja tuloksia käytetään toiminnan ohjauksessa.</v>
      </c>
      <c r="H121" t="str">
        <f>IF(Kestävä_ja_kehittyvä!N21="x","Kyllä","Ei")</f>
        <v>Ei</v>
      </c>
      <c r="I121" t="str">
        <f>IF(ISBLANK(Kestävä_ja_kehittyvä!S21),"",Kestävä_ja_kehittyvä!S21)</f>
        <v/>
      </c>
      <c r="J121">
        <f>LV!$B$10</f>
        <v>0</v>
      </c>
      <c r="K121" t="str">
        <f>LV!$I$18</f>
        <v/>
      </c>
      <c r="L121" t="str">
        <f>IF(ISBLANK(Lähtötiedot!$O$18),"",Lähtötiedot!$O$18)</f>
        <v/>
      </c>
      <c r="M121" t="str">
        <f>IF(ISBLANK(Lähtötiedot!$O$16),"",Lähtötiedot!$O$16)</f>
        <v/>
      </c>
      <c r="N121" s="73" t="str">
        <f>IF(ISBLANK(Lähtötiedot!$O$15),"",Lähtötiedot!$O$15)</f>
        <v/>
      </c>
      <c r="O121" s="73"/>
    </row>
    <row r="122" spans="1:15" x14ac:dyDescent="0.25">
      <c r="A122" t="str">
        <f>Kestävä_ja_kehittyvä!I22</f>
        <v>Ei kuulu</v>
      </c>
      <c r="B122" t="str">
        <f>Kestävä_ja_kehittyvä!P22</f>
        <v/>
      </c>
      <c r="C122" s="74">
        <f>Kestävä_ja_kehittyvä!A22</f>
        <v>3.4</v>
      </c>
      <c r="D122" t="str">
        <f>Kestävä_ja_kehittyvä!C22</f>
        <v>A,B,C,D</v>
      </c>
      <c r="E122" t="str">
        <f>IF(ISBLANK(Kestävä_ja_kehittyvä!K22),"_Otsikkorivi",Kestävä_ja_kehittyvä!K22)</f>
        <v>Kestävä ja kehittyvä</v>
      </c>
      <c r="F122" t="str">
        <f>Kestävä_ja_kehittyvä!L22</f>
        <v>10. Kestävä ja energiatehokas</v>
      </c>
      <c r="G122" t="str">
        <f>IF(ISBLANK(Kestävä_ja_kehittyvä!R22),"Otsikkorivi",Kestävä_ja_kehittyvä!R22)</f>
        <v>10.7 Vesihuoltolaitoksen energiankulutus on analysoitu, toimenpideohjelma energiatehokkuuden parantamiseksi laadittu ja sitä toteutetaan.</v>
      </c>
      <c r="H122" t="str">
        <f>IF(Kestävä_ja_kehittyvä!N22="x","Kyllä","Ei")</f>
        <v>Ei</v>
      </c>
      <c r="I122" t="str">
        <f>IF(ISBLANK(Kestävä_ja_kehittyvä!S22),"",Kestävä_ja_kehittyvä!S22)</f>
        <v/>
      </c>
      <c r="J122">
        <f>LV!$B$10</f>
        <v>0</v>
      </c>
      <c r="K122" t="str">
        <f>LV!$I$18</f>
        <v/>
      </c>
      <c r="L122" t="str">
        <f>IF(ISBLANK(Lähtötiedot!$O$18),"",Lähtötiedot!$O$18)</f>
        <v/>
      </c>
      <c r="M122" t="str">
        <f>IF(ISBLANK(Lähtötiedot!$O$16),"",Lähtötiedot!$O$16)</f>
        <v/>
      </c>
      <c r="N122" s="73" t="str">
        <f>IF(ISBLANK(Lähtötiedot!$O$15),"",Lähtötiedot!$O$15)</f>
        <v/>
      </c>
      <c r="O122" s="73"/>
    </row>
    <row r="123" spans="1:15" x14ac:dyDescent="0.25">
      <c r="A123" t="str">
        <f>Kestävä_ja_kehittyvä!I23</f>
        <v>Ei kuulu</v>
      </c>
      <c r="B123" t="str">
        <f>Kestävä_ja_kehittyvä!P23</f>
        <v/>
      </c>
      <c r="C123" s="74">
        <f>Kestävä_ja_kehittyvä!A23</f>
        <v>4</v>
      </c>
      <c r="D123" t="str">
        <f>Kestävä_ja_kehittyvä!C23</f>
        <v>D</v>
      </c>
      <c r="E123" t="str">
        <f>IF(ISBLANK(Kestävä_ja_kehittyvä!K23),"_Otsikkorivi",Kestävä_ja_kehittyvä!K23)</f>
        <v>Kestävä ja kehittyvä</v>
      </c>
      <c r="F123" t="str">
        <f>Kestävä_ja_kehittyvä!L23</f>
        <v>10. Kestävä ja energiatehokas</v>
      </c>
      <c r="G123" t="str">
        <f>IF(ISBLANK(Kestävä_ja_kehittyvä!R23),"Otsikkorivi",Kestävä_ja_kehittyvä!R23)</f>
        <v xml:space="preserve">10.8 Jätevedenpuhdistamolla hyödynnetään hukkalämpöä. </v>
      </c>
      <c r="H123" t="str">
        <f>IF(Kestävä_ja_kehittyvä!N23="x","Kyllä","Ei")</f>
        <v>Ei</v>
      </c>
      <c r="I123" t="str">
        <f>IF(ISBLANK(Kestävä_ja_kehittyvä!S23),"",Kestävä_ja_kehittyvä!S23)</f>
        <v/>
      </c>
      <c r="J123">
        <f>LV!$B$10</f>
        <v>0</v>
      </c>
      <c r="K123" t="str">
        <f>LV!$I$18</f>
        <v/>
      </c>
      <c r="L123" t="str">
        <f>IF(ISBLANK(Lähtötiedot!$O$18),"",Lähtötiedot!$O$18)</f>
        <v/>
      </c>
      <c r="M123" t="str">
        <f>IF(ISBLANK(Lähtötiedot!$O$16),"",Lähtötiedot!$O$16)</f>
        <v/>
      </c>
      <c r="N123" s="73" t="str">
        <f>IF(ISBLANK(Lähtötiedot!$O$15),"",Lähtötiedot!$O$15)</f>
        <v/>
      </c>
      <c r="O123" s="73"/>
    </row>
    <row r="124" spans="1:15" x14ac:dyDescent="0.25">
      <c r="A124" t="str">
        <f>Kestävä_ja_kehittyvä!I24</f>
        <v>Ei kuulu</v>
      </c>
      <c r="B124" t="str">
        <f>Kestävä_ja_kehittyvä!P24</f>
        <v/>
      </c>
      <c r="C124" s="74">
        <f>Kestävä_ja_kehittyvä!A24</f>
        <v>5</v>
      </c>
      <c r="D124" t="str">
        <f>Kestävä_ja_kehittyvä!C24</f>
        <v>A,B,C,D</v>
      </c>
      <c r="E124" t="str">
        <f>IF(ISBLANK(Kestävä_ja_kehittyvä!K24),"_Otsikkorivi",Kestävä_ja_kehittyvä!K24)</f>
        <v>Kestävä ja kehittyvä</v>
      </c>
      <c r="F124" t="str">
        <f>Kestävä_ja_kehittyvä!L24</f>
        <v>10. Kestävä ja energiatehokas</v>
      </c>
      <c r="G124" t="str">
        <f>IF(ISBLANK(Kestävä_ja_kehittyvä!R24),"Otsikkorivi",Kestävä_ja_kehittyvä!R24)</f>
        <v>10.9 Vesilaitoksen toiminnassa on järjestelmällisesti otettu huomioon ympäristö-, talous- ja sosiaalinen vastuu.</v>
      </c>
      <c r="H124" t="str">
        <f>IF(Kestävä_ja_kehittyvä!N24="x","Kyllä","Ei")</f>
        <v>Ei</v>
      </c>
      <c r="I124" t="str">
        <f>IF(ISBLANK(Kestävä_ja_kehittyvä!S24),"",Kestävä_ja_kehittyvä!S24)</f>
        <v/>
      </c>
      <c r="J124">
        <f>LV!$B$10</f>
        <v>0</v>
      </c>
      <c r="K124" t="str">
        <f>LV!$I$18</f>
        <v/>
      </c>
      <c r="L124" t="str">
        <f>IF(ISBLANK(Lähtötiedot!$O$18),"",Lähtötiedot!$O$18)</f>
        <v/>
      </c>
      <c r="M124" t="str">
        <f>IF(ISBLANK(Lähtötiedot!$O$16),"",Lähtötiedot!$O$16)</f>
        <v/>
      </c>
      <c r="N124" s="73" t="str">
        <f>IF(ISBLANK(Lähtötiedot!$O$15),"",Lähtötiedot!$O$15)</f>
        <v/>
      </c>
      <c r="O124" s="73"/>
    </row>
    <row r="125" spans="1:15" x14ac:dyDescent="0.25">
      <c r="A125" t="str">
        <f>Kestävä_ja_kehittyvä!I25</f>
        <v>Ei kuulu</v>
      </c>
      <c r="B125" t="str">
        <f>Kestävä_ja_kehittyvä!P25</f>
        <v/>
      </c>
      <c r="C125" s="74">
        <f>Kestävä_ja_kehittyvä!A25</f>
        <v>5</v>
      </c>
      <c r="D125" t="str">
        <f>Kestävä_ja_kehittyvä!C25</f>
        <v>A,B,C,D</v>
      </c>
      <c r="E125" t="str">
        <f>IF(ISBLANK(Kestävä_ja_kehittyvä!K25),"_Otsikkorivi",Kestävä_ja_kehittyvä!K25)</f>
        <v>Kestävä ja kehittyvä</v>
      </c>
      <c r="F125" t="str">
        <f>Kestävä_ja_kehittyvä!L25</f>
        <v>10. Kestävä ja energiatehokas</v>
      </c>
      <c r="G125" t="str">
        <f>IF(ISBLANK(Kestävä_ja_kehittyvä!R25),"Otsikkorivi",Kestävä_ja_kehittyvä!R25)</f>
        <v>10.10 Vesihuoltolaitoksen energiantuottopotentiaali on kartoitettu ja laitoksella on tavoitearvo energiaomavaraisuudelle.</v>
      </c>
      <c r="H125" t="str">
        <f>IF(Kestävä_ja_kehittyvä!N25="x","Kyllä","Ei")</f>
        <v>Ei</v>
      </c>
      <c r="I125" t="str">
        <f>IF(ISBLANK(Kestävä_ja_kehittyvä!S25),"",Kestävä_ja_kehittyvä!S25)</f>
        <v/>
      </c>
      <c r="J125">
        <f>LV!$B$10</f>
        <v>0</v>
      </c>
      <c r="K125" t="str">
        <f>LV!$I$18</f>
        <v/>
      </c>
      <c r="L125" t="str">
        <f>IF(ISBLANK(Lähtötiedot!$O$18),"",Lähtötiedot!$O$18)</f>
        <v/>
      </c>
      <c r="M125" t="str">
        <f>IF(ISBLANK(Lähtötiedot!$O$16),"",Lähtötiedot!$O$16)</f>
        <v/>
      </c>
      <c r="N125" s="73" t="str">
        <f>IF(ISBLANK(Lähtötiedot!$O$15),"",Lähtötiedot!$O$15)</f>
        <v/>
      </c>
      <c r="O125" s="73"/>
    </row>
    <row r="126" spans="1:15" x14ac:dyDescent="0.25">
      <c r="A126" t="str">
        <f>Kestävä_ja_kehittyvä!I26</f>
        <v>Ei kuulu</v>
      </c>
      <c r="B126" t="str">
        <f>Kestävä_ja_kehittyvä!P26</f>
        <v/>
      </c>
      <c r="C126" s="74">
        <f>Kestävä_ja_kehittyvä!A26</f>
        <v>5</v>
      </c>
      <c r="D126" t="str">
        <f>Kestävä_ja_kehittyvä!C26</f>
        <v>A,B,C,D</v>
      </c>
      <c r="E126" t="str">
        <f>IF(ISBLANK(Kestävä_ja_kehittyvä!K26),"_Otsikkorivi",Kestävä_ja_kehittyvä!K26)</f>
        <v>Kestävä ja kehittyvä</v>
      </c>
      <c r="F126" t="str">
        <f>Kestävä_ja_kehittyvä!L26</f>
        <v>10. Kestävä ja energiatehokas</v>
      </c>
      <c r="G126" t="str">
        <f>IF(ISBLANK(Kestävä_ja_kehittyvä!R26),"Otsikkorivi",Kestävä_ja_kehittyvä!R26)</f>
        <v xml:space="preserve">10.12 Hiilineutraalisuudelle on asetettu tavoite ja toimenpidesuunnitelma sen saavuttamiseksi </v>
      </c>
      <c r="H126" t="str">
        <f>IF(Kestävä_ja_kehittyvä!N26="x","Kyllä","Ei")</f>
        <v>Ei</v>
      </c>
      <c r="I126" t="str">
        <f>IF(ISBLANK(Kestävä_ja_kehittyvä!S26),"",Kestävä_ja_kehittyvä!S26)</f>
        <v/>
      </c>
      <c r="J126">
        <f>LV!$B$10</f>
        <v>0</v>
      </c>
      <c r="K126" t="str">
        <f>LV!$I$18</f>
        <v/>
      </c>
      <c r="L126" t="str">
        <f>IF(ISBLANK(Lähtötiedot!$O$18),"",Lähtötiedot!$O$18)</f>
        <v/>
      </c>
      <c r="M126" t="str">
        <f>IF(ISBLANK(Lähtötiedot!$O$16),"",Lähtötiedot!$O$16)</f>
        <v/>
      </c>
      <c r="N126" s="73" t="str">
        <f>IF(ISBLANK(Lähtötiedot!$O$15),"",Lähtötiedot!$O$15)</f>
        <v/>
      </c>
      <c r="O126" s="73"/>
    </row>
    <row r="127" spans="1:15" hidden="1" x14ac:dyDescent="0.25">
      <c r="A127" t="str">
        <f>Kestävä_ja_kehittyvä!I27</f>
        <v>Ei kuulu</v>
      </c>
      <c r="B127" t="str">
        <f>Kestävä_ja_kehittyvä!P27</f>
        <v/>
      </c>
      <c r="C127" s="74" t="str">
        <f>Kestävä_ja_kehittyvä!A27</f>
        <v xml:space="preserve">1,2,3,4 </v>
      </c>
      <c r="D127" t="str">
        <f>Kestävä_ja_kehittyvä!C27</f>
        <v>A,B,C,D</v>
      </c>
      <c r="E127" t="str">
        <f>IF(ISBLANK(Kestävä_ja_kehittyvä!K27),"_Otsikkorivi",Kestävä_ja_kehittyvä!K27)</f>
        <v>Kestävä ja kehittyvä</v>
      </c>
      <c r="F127" t="str">
        <f>Kestävä_ja_kehittyvä!L27</f>
        <v>_Otsikkorivi</v>
      </c>
      <c r="G127" t="str">
        <f>IF(ISBLANK(Kestävä_ja_kehittyvä!R27),"Otsikkorivi",Kestävä_ja_kehittyvä!R27)</f>
        <v>11. Asiakaspalvelu ja viestintä on suunniteltua ja läpinäkyvää</v>
      </c>
      <c r="H127" t="str">
        <f>IF(Kestävä_ja_kehittyvä!N27="x","Kyllä","Ei")</f>
        <v>Ei</v>
      </c>
      <c r="I127" t="str">
        <f>IF(ISBLANK(Kestävä_ja_kehittyvä!S27),"",Kestävä_ja_kehittyvä!S27)</f>
        <v/>
      </c>
      <c r="J127">
        <f>LV!$B$10</f>
        <v>0</v>
      </c>
      <c r="K127" t="str">
        <f>LV!$I$18</f>
        <v/>
      </c>
      <c r="L127" t="str">
        <f>IF(ISBLANK(Lähtötiedot!$O$18),"",Lähtötiedot!$O$18)</f>
        <v/>
      </c>
      <c r="M127" t="str">
        <f>IF(ISBLANK(Lähtötiedot!$O$16),"",Lähtötiedot!$O$16)</f>
        <v/>
      </c>
      <c r="N127" s="73" t="str">
        <f>IF(ISBLANK(Lähtötiedot!$O$15),"",Lähtötiedot!$O$15)</f>
        <v/>
      </c>
      <c r="O127" s="73"/>
    </row>
    <row r="128" spans="1:15" x14ac:dyDescent="0.25">
      <c r="A128" t="str">
        <f>Kestävä_ja_kehittyvä!I28</f>
        <v>Ei kuulu</v>
      </c>
      <c r="B128" t="str">
        <f>Kestävä_ja_kehittyvä!P28</f>
        <v/>
      </c>
      <c r="C128" s="74" t="str">
        <f>Kestävä_ja_kehittyvä!A28</f>
        <v>1,2,3,4</v>
      </c>
      <c r="D128" t="str">
        <f>Kestävä_ja_kehittyvä!C28</f>
        <v>B,C</v>
      </c>
      <c r="E128" t="str">
        <f>IF(ISBLANK(Kestävä_ja_kehittyvä!K28),"_Otsikkorivi",Kestävä_ja_kehittyvä!K28)</f>
        <v>Kestävä ja kehittyvä</v>
      </c>
      <c r="F128" t="str">
        <f>Kestävä_ja_kehittyvä!L28</f>
        <v>11. Asiakaspalvelu ja viestintä on suunniteltua ja läpinäkyvää</v>
      </c>
      <c r="G128" t="str">
        <f>IF(ISBLANK(Kestävä_ja_kehittyvä!R28),"Otsikkorivi",Kestävä_ja_kehittyvä!R28)</f>
        <v>11.1 Säännöllinen asiakasviestintä esim. www-sivuilla, laskun/mittarilukemakortin yhteydessä tai asiakaslehdellä</v>
      </c>
      <c r="H128" t="str">
        <f>IF(Kestävä_ja_kehittyvä!N28="x","Kyllä","Ei")</f>
        <v>Ei</v>
      </c>
      <c r="I128" t="str">
        <f>IF(ISBLANK(Kestävä_ja_kehittyvä!S28),"",Kestävä_ja_kehittyvä!S28)</f>
        <v/>
      </c>
      <c r="J128">
        <f>LV!$B$10</f>
        <v>0</v>
      </c>
      <c r="K128" t="str">
        <f>LV!$I$18</f>
        <v/>
      </c>
      <c r="L128" t="str">
        <f>IF(ISBLANK(Lähtötiedot!$O$18),"",Lähtötiedot!$O$18)</f>
        <v/>
      </c>
      <c r="M128" t="str">
        <f>IF(ISBLANK(Lähtötiedot!$O$16),"",Lähtötiedot!$O$16)</f>
        <v/>
      </c>
      <c r="N128" s="73" t="str">
        <f>IF(ISBLANK(Lähtötiedot!$O$15),"",Lähtötiedot!$O$15)</f>
        <v/>
      </c>
      <c r="O128" s="73"/>
    </row>
    <row r="129" spans="1:15" x14ac:dyDescent="0.25">
      <c r="A129" t="str">
        <f>Kestävä_ja_kehittyvä!I29</f>
        <v>Ei kuulu</v>
      </c>
      <c r="B129" t="str">
        <f>Kestävä_ja_kehittyvä!P29</f>
        <v/>
      </c>
      <c r="C129" s="74" t="str">
        <f>Kestävä_ja_kehittyvä!A29</f>
        <v>1,2,3,4</v>
      </c>
      <c r="D129" t="str">
        <f>Kestävä_ja_kehittyvä!C29</f>
        <v>A,B,C,D</v>
      </c>
      <c r="E129" t="str">
        <f>IF(ISBLANK(Kestävä_ja_kehittyvä!K29),"_Otsikkorivi",Kestävä_ja_kehittyvä!K29)</f>
        <v>Kestävä ja kehittyvä</v>
      </c>
      <c r="F129" t="str">
        <f>Kestävä_ja_kehittyvä!L29</f>
        <v>11. Asiakaspalvelu ja viestintä on suunniteltua ja läpinäkyvää</v>
      </c>
      <c r="G129" t="str">
        <f>IF(ISBLANK(Kestävä_ja_kehittyvä!R29),"Otsikkorivi",Kestävä_ja_kehittyvä!R29)</f>
        <v>11.2 Toimintakertomus ja tilinpäätös julkaistaan vuosittain</v>
      </c>
      <c r="H129" t="str">
        <f>IF(Kestävä_ja_kehittyvä!N29="x","Kyllä","Ei")</f>
        <v>Ei</v>
      </c>
      <c r="I129" t="str">
        <f>IF(ISBLANK(Kestävä_ja_kehittyvä!S29),"",Kestävä_ja_kehittyvä!S29)</f>
        <v/>
      </c>
      <c r="J129">
        <f>LV!$B$10</f>
        <v>0</v>
      </c>
      <c r="K129" t="str">
        <f>LV!$I$18</f>
        <v/>
      </c>
      <c r="L129" t="str">
        <f>IF(ISBLANK(Lähtötiedot!$O$18),"",Lähtötiedot!$O$18)</f>
        <v/>
      </c>
      <c r="M129" t="str">
        <f>IF(ISBLANK(Lähtötiedot!$O$16),"",Lähtötiedot!$O$16)</f>
        <v/>
      </c>
      <c r="N129" s="73" t="str">
        <f>IF(ISBLANK(Lähtötiedot!$O$15),"",Lähtötiedot!$O$15)</f>
        <v/>
      </c>
      <c r="O129" s="73"/>
    </row>
    <row r="130" spans="1:15" x14ac:dyDescent="0.25">
      <c r="A130" t="str">
        <f>Kestävä_ja_kehittyvä!I30</f>
        <v>Ei kuulu</v>
      </c>
      <c r="B130" t="str">
        <f>Kestävä_ja_kehittyvä!P30</f>
        <v/>
      </c>
      <c r="C130" s="74" t="str">
        <f>Kestävä_ja_kehittyvä!A30</f>
        <v>1,2,3,4</v>
      </c>
      <c r="D130" t="str">
        <f>Kestävä_ja_kehittyvä!C30</f>
        <v>B,C</v>
      </c>
      <c r="E130" t="str">
        <f>IF(ISBLANK(Kestävä_ja_kehittyvä!K30),"_Otsikkorivi",Kestävä_ja_kehittyvä!K30)</f>
        <v>Kestävä ja kehittyvä</v>
      </c>
      <c r="F130" t="str">
        <f>Kestävä_ja_kehittyvä!L30</f>
        <v>11. Asiakaspalvelu ja viestintä on suunniteltua ja läpinäkyvää</v>
      </c>
      <c r="G130" t="str">
        <f>IF(ISBLANK(Kestävä_ja_kehittyvä!R30),"Otsikkorivi",Kestävä_ja_kehittyvä!R30)</f>
        <v>11.3 Asiakaspalaute kirjataan ylös</v>
      </c>
      <c r="H130" t="str">
        <f>IF(Kestävä_ja_kehittyvä!N30="x","Kyllä","Ei")</f>
        <v>Ei</v>
      </c>
      <c r="I130" t="str">
        <f>IF(ISBLANK(Kestävä_ja_kehittyvä!S30),"",Kestävä_ja_kehittyvä!S30)</f>
        <v/>
      </c>
      <c r="J130">
        <f>LV!$B$10</f>
        <v>0</v>
      </c>
      <c r="K130" t="str">
        <f>LV!$I$18</f>
        <v/>
      </c>
      <c r="L130" t="str">
        <f>IF(ISBLANK(Lähtötiedot!$O$18),"",Lähtötiedot!$O$18)</f>
        <v/>
      </c>
      <c r="M130" t="str">
        <f>IF(ISBLANK(Lähtötiedot!$O$16),"",Lähtötiedot!$O$16)</f>
        <v/>
      </c>
      <c r="N130" s="73" t="str">
        <f>IF(ISBLANK(Lähtötiedot!$O$15),"",Lähtötiedot!$O$15)</f>
        <v/>
      </c>
      <c r="O130" s="73"/>
    </row>
    <row r="131" spans="1:15" x14ac:dyDescent="0.25">
      <c r="A131" t="str">
        <f>Kestävä_ja_kehittyvä!I31</f>
        <v>Ei kuulu</v>
      </c>
      <c r="B131" t="str">
        <f>Kestävä_ja_kehittyvä!P31</f>
        <v/>
      </c>
      <c r="C131" s="74" t="str">
        <f>Kestävä_ja_kehittyvä!A31</f>
        <v>2,3,4</v>
      </c>
      <c r="D131" t="str">
        <f>Kestävä_ja_kehittyvä!C31</f>
        <v>B,C</v>
      </c>
      <c r="E131" t="str">
        <f>IF(ISBLANK(Kestävä_ja_kehittyvä!K31),"_Otsikkorivi",Kestävä_ja_kehittyvä!K31)</f>
        <v>Kestävä ja kehittyvä</v>
      </c>
      <c r="F131" t="str">
        <f>Kestävä_ja_kehittyvä!L31</f>
        <v>11. Asiakaspalvelu ja viestintä on suunniteltua ja läpinäkyvää</v>
      </c>
      <c r="G131" t="str">
        <f>IF(ISBLANK(Kestävä_ja_kehittyvä!R31),"Otsikkorivi",Kestävä_ja_kehittyvä!R31)</f>
        <v>11.4 Asiakastietojärjestelmä mahdollistaa sähköiset asiakaspalvelut</v>
      </c>
      <c r="H131" t="str">
        <f>IF(Kestävä_ja_kehittyvä!N31="x","Kyllä","Ei")</f>
        <v>Ei</v>
      </c>
      <c r="I131" t="str">
        <f>IF(ISBLANK(Kestävä_ja_kehittyvä!S31),"",Kestävä_ja_kehittyvä!S31)</f>
        <v/>
      </c>
      <c r="J131">
        <f>LV!$B$10</f>
        <v>0</v>
      </c>
      <c r="K131" t="str">
        <f>LV!$I$18</f>
        <v/>
      </c>
      <c r="L131" t="str">
        <f>IF(ISBLANK(Lähtötiedot!$O$18),"",Lähtötiedot!$O$18)</f>
        <v/>
      </c>
      <c r="M131" t="str">
        <f>IF(ISBLANK(Lähtötiedot!$O$16),"",Lähtötiedot!$O$16)</f>
        <v/>
      </c>
      <c r="N131" s="73" t="str">
        <f>IF(ISBLANK(Lähtötiedot!$O$15),"",Lähtötiedot!$O$15)</f>
        <v/>
      </c>
      <c r="O131" s="73"/>
    </row>
    <row r="132" spans="1:15" x14ac:dyDescent="0.25">
      <c r="A132" t="str">
        <f>Kestävä_ja_kehittyvä!I32</f>
        <v>Ei kuulu</v>
      </c>
      <c r="B132" t="str">
        <f>Kestävä_ja_kehittyvä!P32</f>
        <v/>
      </c>
      <c r="C132" s="74" t="str">
        <f>Kestävä_ja_kehittyvä!A32</f>
        <v>2,3,4</v>
      </c>
      <c r="D132" t="str">
        <f>Kestävä_ja_kehittyvä!C32</f>
        <v>B,C</v>
      </c>
      <c r="E132" t="str">
        <f>IF(ISBLANK(Kestävä_ja_kehittyvä!K32),"_Otsikkorivi",Kestävä_ja_kehittyvä!K32)</f>
        <v>Kestävä ja kehittyvä</v>
      </c>
      <c r="F132" t="str">
        <f>Kestävä_ja_kehittyvä!L32</f>
        <v>11. Asiakaspalvelu ja viestintä on suunniteltua ja läpinäkyvää</v>
      </c>
      <c r="G132" t="str">
        <f>IF(ISBLANK(Kestävä_ja_kehittyvä!R32),"Otsikkorivi",Kestävä_ja_kehittyvä!R32)</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2" t="str">
        <f>IF(Kestävä_ja_kehittyvä!N32="x","Kyllä","Ei")</f>
        <v>Ei</v>
      </c>
      <c r="I132" t="str">
        <f>IF(ISBLANK(Kestävä_ja_kehittyvä!S32),"",Kestävä_ja_kehittyvä!S32)</f>
        <v/>
      </c>
      <c r="J132">
        <f>LV!$B$10</f>
        <v>0</v>
      </c>
      <c r="K132" t="str">
        <f>LV!$I$18</f>
        <v/>
      </c>
      <c r="L132" t="str">
        <f>IF(ISBLANK(Lähtötiedot!$O$18),"",Lähtötiedot!$O$18)</f>
        <v/>
      </c>
      <c r="M132" t="str">
        <f>IF(ISBLANK(Lähtötiedot!$O$16),"",Lähtötiedot!$O$16)</f>
        <v/>
      </c>
      <c r="N132" s="73" t="str">
        <f>IF(ISBLANK(Lähtötiedot!$O$15),"",Lähtötiedot!$O$15)</f>
        <v/>
      </c>
      <c r="O132" s="73"/>
    </row>
    <row r="133" spans="1:15" x14ac:dyDescent="0.25">
      <c r="A133" t="str">
        <f>Kestävä_ja_kehittyvä!I33</f>
        <v>Ei kuulu</v>
      </c>
      <c r="B133" t="str">
        <f>Kestävä_ja_kehittyvä!P33</f>
        <v/>
      </c>
      <c r="C133" s="74">
        <f>Kestävä_ja_kehittyvä!A33</f>
        <v>2</v>
      </c>
      <c r="D133" t="str">
        <f>Kestävä_ja_kehittyvä!C33</f>
        <v>B,C</v>
      </c>
      <c r="E133" t="str">
        <f>IF(ISBLANK(Kestävä_ja_kehittyvä!K33),"_Otsikkorivi",Kestävä_ja_kehittyvä!K33)</f>
        <v>Kestävä ja kehittyvä</v>
      </c>
      <c r="F133" t="str">
        <f>Kestävä_ja_kehittyvä!L33</f>
        <v>11. Asiakaspalvelu ja viestintä on suunniteltua ja läpinäkyvää</v>
      </c>
      <c r="G133" t="str">
        <f>IF(ISBLANK(Kestävä_ja_kehittyvä!R33),"Otsikkorivi",Kestävä_ja_kehittyvä!R33)</f>
        <v>11.6 Laitos tekee asiakastyytyväisyyskyselyn 2-4 vuoden välein.</v>
      </c>
      <c r="H133" t="str">
        <f>IF(Kestävä_ja_kehittyvä!N33="x","Kyllä","Ei")</f>
        <v>Ei</v>
      </c>
      <c r="I133" t="str">
        <f>IF(ISBLANK(Kestävä_ja_kehittyvä!S33),"",Kestävä_ja_kehittyvä!S33)</f>
        <v/>
      </c>
      <c r="J133">
        <f>LV!$B$10</f>
        <v>0</v>
      </c>
      <c r="K133" t="str">
        <f>LV!$I$18</f>
        <v/>
      </c>
      <c r="L133" t="str">
        <f>IF(ISBLANK(Lähtötiedot!$O$18),"",Lähtötiedot!$O$18)</f>
        <v/>
      </c>
      <c r="M133" t="str">
        <f>IF(ISBLANK(Lähtötiedot!$O$16),"",Lähtötiedot!$O$16)</f>
        <v/>
      </c>
      <c r="N133" s="73" t="str">
        <f>IF(ISBLANK(Lähtötiedot!$O$15),"",Lähtötiedot!$O$15)</f>
        <v/>
      </c>
      <c r="O133" s="73"/>
    </row>
    <row r="134" spans="1:15" x14ac:dyDescent="0.25">
      <c r="A134" t="str">
        <f>Kestävä_ja_kehittyvä!I34</f>
        <v>Ei kuulu</v>
      </c>
      <c r="B134" t="str">
        <f>Kestävä_ja_kehittyvä!P34</f>
        <v/>
      </c>
      <c r="C134" s="74">
        <f>Kestävä_ja_kehittyvä!A34</f>
        <v>3</v>
      </c>
      <c r="D134" t="str">
        <f>Kestävä_ja_kehittyvä!C34</f>
        <v>B,C</v>
      </c>
      <c r="E134" t="str">
        <f>IF(ISBLANK(Kestävä_ja_kehittyvä!K34),"_Otsikkorivi",Kestävä_ja_kehittyvä!K34)</f>
        <v>Kestävä ja kehittyvä</v>
      </c>
      <c r="F134" t="str">
        <f>Kestävä_ja_kehittyvä!L34</f>
        <v>11. Asiakaspalvelu ja viestintä on suunniteltua ja läpinäkyvää</v>
      </c>
      <c r="G134" t="str">
        <f>IF(ISBLANK(Kestävä_ja_kehittyvä!R34),"Otsikkorivi",Kestävä_ja_kehittyvä!R34)</f>
        <v>11.6 Laitos tekee asiakastyytyväisyyskyselyn 1-2 vuoden välein</v>
      </c>
      <c r="H134" t="str">
        <f>IF(Kestävä_ja_kehittyvä!N34="x","Kyllä","Ei")</f>
        <v>Ei</v>
      </c>
      <c r="I134" t="str">
        <f>IF(ISBLANK(Kestävä_ja_kehittyvä!S34),"",Kestävä_ja_kehittyvä!S34)</f>
        <v/>
      </c>
      <c r="J134">
        <f>LV!$B$10</f>
        <v>0</v>
      </c>
      <c r="K134" t="str">
        <f>LV!$I$18</f>
        <v/>
      </c>
      <c r="L134" t="str">
        <f>IF(ISBLANK(Lähtötiedot!$O$18),"",Lähtötiedot!$O$18)</f>
        <v/>
      </c>
      <c r="M134" t="str">
        <f>IF(ISBLANK(Lähtötiedot!$O$16),"",Lähtötiedot!$O$16)</f>
        <v/>
      </c>
      <c r="N134" s="73" t="str">
        <f>IF(ISBLANK(Lähtötiedot!$O$15),"",Lähtötiedot!$O$15)</f>
        <v/>
      </c>
      <c r="O134" s="73"/>
    </row>
    <row r="135" spans="1:15" x14ac:dyDescent="0.25">
      <c r="A135" t="str">
        <f>Kestävä_ja_kehittyvä!I35</f>
        <v>Ei kuulu</v>
      </c>
      <c r="B135" t="str">
        <f>Kestävä_ja_kehittyvä!P35</f>
        <v/>
      </c>
      <c r="C135" s="74">
        <f>Kestävä_ja_kehittyvä!A35</f>
        <v>4</v>
      </c>
      <c r="D135" t="str">
        <f>Kestävä_ja_kehittyvä!C35</f>
        <v>B,C</v>
      </c>
      <c r="E135" t="str">
        <f>IF(ISBLANK(Kestävä_ja_kehittyvä!K35),"_Otsikkorivi",Kestävä_ja_kehittyvä!K35)</f>
        <v>Kestävä ja kehittyvä</v>
      </c>
      <c r="F135" t="str">
        <f>Kestävä_ja_kehittyvä!L35</f>
        <v>11. Asiakaspalvelu ja viestintä on suunniteltua ja läpinäkyvää</v>
      </c>
      <c r="G135" t="str">
        <f>IF(ISBLANK(Kestävä_ja_kehittyvä!R35),"Otsikkorivi",Kestävä_ja_kehittyvä!R35)</f>
        <v>11.6 Laitos tekee asiakastyytyväisyyskyselyn vuosittain.</v>
      </c>
      <c r="H135" t="str">
        <f>IF(Kestävä_ja_kehittyvä!N35="x","Kyllä","Ei")</f>
        <v>Ei</v>
      </c>
      <c r="I135" t="str">
        <f>IF(ISBLANK(Kestävä_ja_kehittyvä!S35),"",Kestävä_ja_kehittyvä!S35)</f>
        <v/>
      </c>
      <c r="J135">
        <f>LV!$B$10</f>
        <v>0</v>
      </c>
      <c r="K135" t="str">
        <f>LV!$I$18</f>
        <v/>
      </c>
      <c r="L135" t="str">
        <f>IF(ISBLANK(Lähtötiedot!$O$18),"",Lähtötiedot!$O$18)</f>
        <v/>
      </c>
      <c r="M135" t="str">
        <f>IF(ISBLANK(Lähtötiedot!$O$16),"",Lähtötiedot!$O$16)</f>
        <v/>
      </c>
      <c r="N135" s="73" t="str">
        <f>IF(ISBLANK(Lähtötiedot!$O$15),"",Lähtötiedot!$O$15)</f>
        <v/>
      </c>
      <c r="O135" s="73"/>
    </row>
    <row r="136" spans="1:15" x14ac:dyDescent="0.25">
      <c r="A136" t="str">
        <f>Kestävä_ja_kehittyvä!I36</f>
        <v>Ei kuulu</v>
      </c>
      <c r="B136" t="str">
        <f>Kestävä_ja_kehittyvä!P36</f>
        <v/>
      </c>
      <c r="C136" s="74">
        <f>Kestävä_ja_kehittyvä!A36</f>
        <v>3.4</v>
      </c>
      <c r="D136" t="str">
        <f>Kestävä_ja_kehittyvä!C36</f>
        <v>B,C</v>
      </c>
      <c r="E136" t="str">
        <f>IF(ISBLANK(Kestävä_ja_kehittyvä!K36),"_Otsikkorivi",Kestävä_ja_kehittyvä!K36)</f>
        <v>Kestävä ja kehittyvä</v>
      </c>
      <c r="F136" t="str">
        <f>Kestävä_ja_kehittyvä!L36</f>
        <v>11. Asiakaspalvelu ja viestintä on suunniteltua ja läpinäkyvää</v>
      </c>
      <c r="G136" t="str">
        <f>IF(ISBLANK(Kestävä_ja_kehittyvä!R36),"Otsikkorivi",Kestävä_ja_kehittyvä!R36)</f>
        <v>11.7 Asiakasvalituksiin vastaamiseen on asetettu tavoiteaika.</v>
      </c>
      <c r="H136" t="str">
        <f>IF(Kestävä_ja_kehittyvä!N36="x","Kyllä","Ei")</f>
        <v>Ei</v>
      </c>
      <c r="I136" t="str">
        <f>IF(ISBLANK(Kestävä_ja_kehittyvä!S36),"",Kestävä_ja_kehittyvä!S36)</f>
        <v/>
      </c>
      <c r="J136">
        <f>LV!$B$10</f>
        <v>0</v>
      </c>
      <c r="K136" t="str">
        <f>LV!$I$18</f>
        <v/>
      </c>
      <c r="L136" t="str">
        <f>IF(ISBLANK(Lähtötiedot!$O$18),"",Lähtötiedot!$O$18)</f>
        <v/>
      </c>
      <c r="M136" t="str">
        <f>IF(ISBLANK(Lähtötiedot!$O$16),"",Lähtötiedot!$O$16)</f>
        <v/>
      </c>
      <c r="N136" s="73" t="str">
        <f>IF(ISBLANK(Lähtötiedot!$O$15),"",Lähtötiedot!$O$15)</f>
        <v/>
      </c>
      <c r="O136" s="73"/>
    </row>
    <row r="137" spans="1:15" x14ac:dyDescent="0.25">
      <c r="A137" t="str">
        <f>Kestävä_ja_kehittyvä!I37</f>
        <v>Ei kuulu</v>
      </c>
      <c r="B137" t="str">
        <f>Kestävä_ja_kehittyvä!P37</f>
        <v/>
      </c>
      <c r="C137" s="74">
        <f>Kestävä_ja_kehittyvä!A37</f>
        <v>3.4</v>
      </c>
      <c r="D137" t="str">
        <f>Kestävä_ja_kehittyvä!C37</f>
        <v>B,C</v>
      </c>
      <c r="E137" t="str">
        <f>IF(ISBLANK(Kestävä_ja_kehittyvä!K37),"_Otsikkorivi",Kestävä_ja_kehittyvä!K37)</f>
        <v>Kestävä ja kehittyvä</v>
      </c>
      <c r="F137" t="str">
        <f>Kestävä_ja_kehittyvä!L37</f>
        <v>11. Asiakaspalvelu ja viestintä on suunniteltua ja läpinäkyvää</v>
      </c>
      <c r="G137" t="str">
        <f>IF(ISBLANK(Kestävä_ja_kehittyvä!R37),"Otsikkorivi",Kestävä_ja_kehittyvä!R37)</f>
        <v>11.8 Käytössä liittyjäkohtainen kuluttajaviestintä (esim. tekstiviesti-ilmoitus)</v>
      </c>
      <c r="H137" t="str">
        <f>IF(Kestävä_ja_kehittyvä!N37="x","Kyllä","Ei")</f>
        <v>Ei</v>
      </c>
      <c r="I137" t="str">
        <f>IF(ISBLANK(Kestävä_ja_kehittyvä!S37),"",Kestävä_ja_kehittyvä!S37)</f>
        <v/>
      </c>
      <c r="J137">
        <f>LV!$B$10</f>
        <v>0</v>
      </c>
      <c r="K137" t="str">
        <f>LV!$I$18</f>
        <v/>
      </c>
      <c r="L137" t="str">
        <f>IF(ISBLANK(Lähtötiedot!$O$18),"",Lähtötiedot!$O$18)</f>
        <v/>
      </c>
      <c r="M137" t="str">
        <f>IF(ISBLANK(Lähtötiedot!$O$16),"",Lähtötiedot!$O$16)</f>
        <v/>
      </c>
      <c r="N137" s="73" t="str">
        <f>IF(ISBLANK(Lähtötiedot!$O$15),"",Lähtötiedot!$O$15)</f>
        <v/>
      </c>
      <c r="O137" s="73"/>
    </row>
    <row r="138" spans="1:15" x14ac:dyDescent="0.25">
      <c r="A138" t="str">
        <f>Kestävä_ja_kehittyvä!I38</f>
        <v>Ei kuulu</v>
      </c>
      <c r="B138" t="str">
        <f>Kestävä_ja_kehittyvä!P38</f>
        <v/>
      </c>
      <c r="C138" s="74">
        <f>Kestävä_ja_kehittyvä!A38</f>
        <v>4</v>
      </c>
      <c r="D138" t="str">
        <f>Kestävä_ja_kehittyvä!C38</f>
        <v>B,C</v>
      </c>
      <c r="E138" t="str">
        <f>IF(ISBLANK(Kestävä_ja_kehittyvä!K38),"_Otsikkorivi",Kestävä_ja_kehittyvä!K38)</f>
        <v>Kestävä ja kehittyvä</v>
      </c>
      <c r="F138" t="str">
        <f>Kestävä_ja_kehittyvä!L38</f>
        <v>11. Asiakaspalvelu ja viestintä on suunniteltua ja läpinäkyvää</v>
      </c>
      <c r="G138" t="str">
        <f>IF(ISBLANK(Kestävä_ja_kehittyvä!R38),"Otsikkorivi",Kestävä_ja_kehittyvä!R38)</f>
        <v>11.9 Sijaintitiedon kannalta oleelliset asiakasvalitukset hallinnoidaan paikkatietona. (esim. johtotietojärjestelmä, kunnossapitojärjestelmä)</v>
      </c>
      <c r="H138" t="str">
        <f>IF(Kestävä_ja_kehittyvä!N38="x","Kyllä","Ei")</f>
        <v>Ei</v>
      </c>
      <c r="I138" t="str">
        <f>IF(ISBLANK(Kestävä_ja_kehittyvä!S38),"",Kestävä_ja_kehittyvä!S38)</f>
        <v/>
      </c>
      <c r="J138">
        <f>LV!$B$10</f>
        <v>0</v>
      </c>
      <c r="K138" t="str">
        <f>LV!$I$18</f>
        <v/>
      </c>
      <c r="L138" t="str">
        <f>IF(ISBLANK(Lähtötiedot!$O$18),"",Lähtötiedot!$O$18)</f>
        <v/>
      </c>
      <c r="M138" t="str">
        <f>IF(ISBLANK(Lähtötiedot!$O$16),"",Lähtötiedot!$O$16)</f>
        <v/>
      </c>
      <c r="N138" s="73" t="str">
        <f>IF(ISBLANK(Lähtötiedot!$O$15),"",Lähtötiedot!$O$15)</f>
        <v/>
      </c>
      <c r="O138" s="73"/>
    </row>
    <row r="139" spans="1:15" x14ac:dyDescent="0.25">
      <c r="A139" t="str">
        <f>Kestävä_ja_kehittyvä!I39</f>
        <v>Ei kuulu</v>
      </c>
      <c r="B139" t="str">
        <f>Kestävä_ja_kehittyvä!P39</f>
        <v/>
      </c>
      <c r="C139" s="74">
        <f>Kestävä_ja_kehittyvä!A39</f>
        <v>4</v>
      </c>
      <c r="D139" t="str">
        <f>Kestävä_ja_kehittyvä!C39</f>
        <v>B,C</v>
      </c>
      <c r="E139" t="str">
        <f>IF(ISBLANK(Kestävä_ja_kehittyvä!K39),"_Otsikkorivi",Kestävä_ja_kehittyvä!K39)</f>
        <v>Kestävä ja kehittyvä</v>
      </c>
      <c r="F139" t="str">
        <f>Kestävä_ja_kehittyvä!L39</f>
        <v>11. Asiakaspalvelu ja viestintä on suunniteltua ja läpinäkyvää</v>
      </c>
      <c r="G139" t="str">
        <f>IF(ISBLANK(Kestävä_ja_kehittyvä!R39),"Otsikkorivi",Kestävä_ja_kehittyvä!R39)</f>
        <v>11.10 Asiakastyytyväisyyden tulos tasolla vähintään hyvä.</v>
      </c>
      <c r="H139" t="str">
        <f>IF(Kestävä_ja_kehittyvä!N39="x","Kyllä","Ei")</f>
        <v>Ei</v>
      </c>
      <c r="I139" t="str">
        <f>IF(ISBLANK(Kestävä_ja_kehittyvä!S39),"",Kestävä_ja_kehittyvä!S39)</f>
        <v/>
      </c>
      <c r="J139">
        <f>LV!$B$10</f>
        <v>0</v>
      </c>
      <c r="K139" t="str">
        <f>LV!$I$18</f>
        <v/>
      </c>
      <c r="L139" t="str">
        <f>IF(ISBLANK(Lähtötiedot!$O$18),"",Lähtötiedot!$O$18)</f>
        <v/>
      </c>
      <c r="M139" t="str">
        <f>IF(ISBLANK(Lähtötiedot!$O$16),"",Lähtötiedot!$O$16)</f>
        <v/>
      </c>
      <c r="N139" s="73" t="str">
        <f>IF(ISBLANK(Lähtötiedot!$O$15),"",Lähtötiedot!$O$15)</f>
        <v/>
      </c>
      <c r="O139" s="73"/>
    </row>
    <row r="140" spans="1:15" x14ac:dyDescent="0.25">
      <c r="A140" t="str">
        <f>Kestävä_ja_kehittyvä!I40</f>
        <v>Ei kuulu</v>
      </c>
      <c r="B140" t="str">
        <f>Kestävä_ja_kehittyvä!P40</f>
        <v/>
      </c>
      <c r="C140" s="74">
        <f>Kestävä_ja_kehittyvä!A40</f>
        <v>4</v>
      </c>
      <c r="D140" t="str">
        <f>Kestävä_ja_kehittyvä!C40</f>
        <v>B,C</v>
      </c>
      <c r="E140" t="str">
        <f>IF(ISBLANK(Kestävä_ja_kehittyvä!K40),"_Otsikkorivi",Kestävä_ja_kehittyvä!K40)</f>
        <v>Kestävä ja kehittyvä</v>
      </c>
      <c r="F140" t="str">
        <f>Kestävä_ja_kehittyvä!L40</f>
        <v>11. Asiakaspalvelu ja viestintä on suunniteltua ja läpinäkyvää</v>
      </c>
      <c r="G140" t="str">
        <f>IF(ISBLANK(Kestävä_ja_kehittyvä!R40),"Otsikkorivi",Kestävä_ja_kehittyvä!R40)</f>
        <v>11.11 Asiakaspalvelua kehitetään asiakastyytyväisyyskyselyjen lisäksi yhteistyössä asiakkaiden kanssa. (esim. säännöllinen asiakasfoorumi, isännöitsijätapaamiset)</v>
      </c>
      <c r="H140" t="str">
        <f>IF(Kestävä_ja_kehittyvä!N40="x","Kyllä","Ei")</f>
        <v>Ei</v>
      </c>
      <c r="I140" t="str">
        <f>IF(ISBLANK(Kestävä_ja_kehittyvä!S40),"",Kestävä_ja_kehittyvä!S40)</f>
        <v/>
      </c>
      <c r="J140">
        <f>LV!$B$10</f>
        <v>0</v>
      </c>
      <c r="K140" t="str">
        <f>LV!$I$18</f>
        <v/>
      </c>
      <c r="L140" t="str">
        <f>IF(ISBLANK(Lähtötiedot!$O$18),"",Lähtötiedot!$O$18)</f>
        <v/>
      </c>
      <c r="M140" t="str">
        <f>IF(ISBLANK(Lähtötiedot!$O$16),"",Lähtötiedot!$O$16)</f>
        <v/>
      </c>
      <c r="N140" s="73" t="str">
        <f>IF(ISBLANK(Lähtötiedot!$O$15),"",Lähtötiedot!$O$15)</f>
        <v/>
      </c>
      <c r="O140" s="73"/>
    </row>
    <row r="141" spans="1:15" x14ac:dyDescent="0.25">
      <c r="A141" t="str">
        <f>Kestävä_ja_kehittyvä!I41</f>
        <v>Ei kuulu</v>
      </c>
      <c r="B141" t="str">
        <f>Kestävä_ja_kehittyvä!P41</f>
        <v/>
      </c>
      <c r="C141" s="74">
        <f>Kestävä_ja_kehittyvä!A41</f>
        <v>4</v>
      </c>
      <c r="D141" t="str">
        <f>Kestävä_ja_kehittyvä!C41</f>
        <v>B,C</v>
      </c>
      <c r="E141" t="str">
        <f>IF(ISBLANK(Kestävä_ja_kehittyvä!K41),"_Otsikkorivi",Kestävä_ja_kehittyvä!K41)</f>
        <v>Kestävä ja kehittyvä</v>
      </c>
      <c r="F141" t="str">
        <f>Kestävä_ja_kehittyvä!L41</f>
        <v>11. Asiakaspalvelu ja viestintä on suunniteltua ja läpinäkyvää</v>
      </c>
      <c r="G141" t="str">
        <f>IF(ISBLANK(Kestävä_ja_kehittyvä!R41),"Otsikkorivi",Kestävä_ja_kehittyvä!R41)</f>
        <v>11.12 Asiakaspalvelulle on määritelty palvelutaso normaalitoiminnassa ja häiriötilanteissa.</v>
      </c>
      <c r="H141" t="str">
        <f>IF(Kestävä_ja_kehittyvä!N41="x","Kyllä","Ei")</f>
        <v>Ei</v>
      </c>
      <c r="I141" t="str">
        <f>IF(ISBLANK(Kestävä_ja_kehittyvä!S41),"",Kestävä_ja_kehittyvä!S41)</f>
        <v/>
      </c>
      <c r="J141">
        <f>LV!$B$10</f>
        <v>0</v>
      </c>
      <c r="K141" t="str">
        <f>LV!$I$18</f>
        <v/>
      </c>
      <c r="L141" t="str">
        <f>IF(ISBLANK(Lähtötiedot!$O$18),"",Lähtötiedot!$O$18)</f>
        <v/>
      </c>
      <c r="M141" t="str">
        <f>IF(ISBLANK(Lähtötiedot!$O$16),"",Lähtötiedot!$O$16)</f>
        <v/>
      </c>
      <c r="N141" s="73" t="str">
        <f>IF(ISBLANK(Lähtötiedot!$O$15),"",Lähtötiedot!$O$15)</f>
        <v/>
      </c>
      <c r="O141" s="73"/>
    </row>
    <row r="142" spans="1:15" x14ac:dyDescent="0.25">
      <c r="A142" t="str">
        <f>Kestävä_ja_kehittyvä!I42</f>
        <v>Ei kuulu</v>
      </c>
      <c r="B142" t="str">
        <f>Kestävä_ja_kehittyvä!P42</f>
        <v/>
      </c>
      <c r="C142" s="74">
        <f>Kestävä_ja_kehittyvä!A42</f>
        <v>5</v>
      </c>
      <c r="D142" t="str">
        <f>Kestävä_ja_kehittyvä!C42</f>
        <v>B,C</v>
      </c>
      <c r="E142" t="str">
        <f>IF(ISBLANK(Kestävä_ja_kehittyvä!K42),"_Otsikkorivi",Kestävä_ja_kehittyvä!K42)</f>
        <v>Kestävä ja kehittyvä</v>
      </c>
      <c r="F142" t="str">
        <f>Kestävä_ja_kehittyvä!L42</f>
        <v>11. Asiakaspalvelu ja viestintä on suunniteltua ja läpinäkyvää</v>
      </c>
      <c r="G142" t="str">
        <f>IF(ISBLANK(Kestävä_ja_kehittyvä!R42),"Otsikkorivi",Kestävä_ja_kehittyvä!R42)</f>
        <v>11.13 Asiakastyytyväisyyden jatkuva seuranta aina asiakaskohtaamisen yhteydessä</v>
      </c>
      <c r="H142" t="str">
        <f>IF(Kestävä_ja_kehittyvä!N42="x","Kyllä","Ei")</f>
        <v>Ei</v>
      </c>
      <c r="I142" t="str">
        <f>IF(ISBLANK(Kestävä_ja_kehittyvä!S42),"",Kestävä_ja_kehittyvä!S42)</f>
        <v/>
      </c>
      <c r="J142">
        <f>LV!$B$10</f>
        <v>0</v>
      </c>
      <c r="K142" t="str">
        <f>LV!$I$18</f>
        <v/>
      </c>
      <c r="L142" t="str">
        <f>IF(ISBLANK(Lähtötiedot!$O$18),"",Lähtötiedot!$O$18)</f>
        <v/>
      </c>
      <c r="M142" t="str">
        <f>IF(ISBLANK(Lähtötiedot!$O$16),"",Lähtötiedot!$O$16)</f>
        <v/>
      </c>
      <c r="N142" s="73" t="str">
        <f>IF(ISBLANK(Lähtötiedot!$O$15),"",Lähtötiedot!$O$15)</f>
        <v/>
      </c>
      <c r="O142" s="73"/>
    </row>
    <row r="143" spans="1:15" x14ac:dyDescent="0.25">
      <c r="A143" t="str">
        <f>Kestävä_ja_kehittyvä!I43</f>
        <v>Ei kuulu</v>
      </c>
      <c r="B143" t="str">
        <f>Kestävä_ja_kehittyvä!P43</f>
        <v/>
      </c>
      <c r="C143" s="74">
        <f>Kestävä_ja_kehittyvä!A43</f>
        <v>5</v>
      </c>
      <c r="D143" t="str">
        <f>Kestävä_ja_kehittyvä!C43</f>
        <v>B,C</v>
      </c>
      <c r="E143" t="str">
        <f>IF(ISBLANK(Kestävä_ja_kehittyvä!K43),"_Otsikkorivi",Kestävä_ja_kehittyvä!K43)</f>
        <v>Kestävä ja kehittyvä</v>
      </c>
      <c r="F143" t="str">
        <f>Kestävä_ja_kehittyvä!L43</f>
        <v>11. Asiakaspalvelu ja viestintä on suunniteltua ja läpinäkyvää</v>
      </c>
      <c r="G143" t="str">
        <f>IF(ISBLANK(Kestävä_ja_kehittyvä!R43),"Otsikkorivi",Kestävä_ja_kehittyvä!R43)</f>
        <v>11.14 Asiakkaille tarjotaan kohderyhmittäin räätälöityjä lisäpalveluja kulutustietojen, asioinnin yms. suhteen, esim. etäluenta, ladattava äppi tms.</v>
      </c>
      <c r="H143" t="str">
        <f>IF(Kestävä_ja_kehittyvä!N43="x","Kyllä","Ei")</f>
        <v>Ei</v>
      </c>
      <c r="I143" t="str">
        <f>IF(ISBLANK(Kestävä_ja_kehittyvä!S43),"",Kestävä_ja_kehittyvä!S43)</f>
        <v/>
      </c>
      <c r="J143">
        <f>LV!$B$10</f>
        <v>0</v>
      </c>
      <c r="K143" t="str">
        <f>LV!$I$18</f>
        <v/>
      </c>
      <c r="L143" t="str">
        <f>IF(ISBLANK(Lähtötiedot!$O$18),"",Lähtötiedot!$O$18)</f>
        <v/>
      </c>
      <c r="M143" t="str">
        <f>IF(ISBLANK(Lähtötiedot!$O$16),"",Lähtötiedot!$O$16)</f>
        <v/>
      </c>
      <c r="N143" s="73" t="str">
        <f>IF(ISBLANK(Lähtötiedot!$O$15),"",Lähtötiedot!$O$15)</f>
        <v/>
      </c>
      <c r="O143" s="73"/>
    </row>
  </sheetData>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EC6B-1A44-40E8-BFD0-27B8840B0117}">
  <sheetPr>
    <tabColor rgb="FF008ADE"/>
  </sheetPr>
  <dimension ref="A1:Y143"/>
  <sheetViews>
    <sheetView showGridLines="0" workbookViewId="0">
      <selection activeCell="O1" sqref="O1"/>
    </sheetView>
  </sheetViews>
  <sheetFormatPr defaultRowHeight="15" x14ac:dyDescent="0.25"/>
  <cols>
    <col min="1" max="1" width="10.85546875" customWidth="1"/>
    <col min="2" max="2" width="14.140625" customWidth="1"/>
    <col min="3" max="3" width="20.140625" style="74" bestFit="1" customWidth="1"/>
    <col min="4" max="4" width="17.85546875" bestFit="1" customWidth="1"/>
    <col min="5" max="5" width="13.42578125" customWidth="1"/>
    <col min="6" max="6" width="12.85546875" customWidth="1"/>
    <col min="7" max="7" width="62.42578125" customWidth="1"/>
    <col min="8" max="8" width="15.140625" customWidth="1"/>
    <col min="9" max="9" width="9.5703125" customWidth="1"/>
    <col min="10" max="10" width="20.140625" customWidth="1"/>
    <col min="11" max="11" width="17.5703125" customWidth="1"/>
    <col min="12" max="12" width="8.85546875" bestFit="1" customWidth="1"/>
    <col min="13" max="13" width="17.42578125" customWidth="1"/>
    <col min="14" max="14" width="12.5703125" customWidth="1"/>
    <col min="15" max="15" width="3.85546875" customWidth="1"/>
    <col min="25" max="25" width="4.5703125" customWidth="1"/>
  </cols>
  <sheetData>
    <row r="1" spans="1:25" x14ac:dyDescent="0.25">
      <c r="A1" t="s">
        <v>240</v>
      </c>
      <c r="B1" t="s">
        <v>237</v>
      </c>
      <c r="C1" s="74" t="s">
        <v>239</v>
      </c>
      <c r="D1" t="s">
        <v>238</v>
      </c>
      <c r="E1" t="s">
        <v>1</v>
      </c>
      <c r="F1" t="s">
        <v>229</v>
      </c>
      <c r="G1" t="s">
        <v>230</v>
      </c>
      <c r="H1" t="s">
        <v>5</v>
      </c>
      <c r="I1" t="s">
        <v>231</v>
      </c>
      <c r="J1" t="s">
        <v>234</v>
      </c>
      <c r="K1" t="s">
        <v>235</v>
      </c>
      <c r="L1" t="s">
        <v>232</v>
      </c>
      <c r="M1" t="s">
        <v>233</v>
      </c>
      <c r="N1" t="s">
        <v>236</v>
      </c>
      <c r="P1" s="137"/>
      <c r="Q1" s="137"/>
      <c r="R1" s="137"/>
      <c r="S1" s="137"/>
      <c r="T1" s="137"/>
      <c r="U1" s="137"/>
      <c r="V1" s="137"/>
      <c r="W1" s="137"/>
      <c r="X1" s="137"/>
      <c r="Y1" s="137"/>
    </row>
    <row r="2" spans="1:25" hidden="1" x14ac:dyDescent="0.25">
      <c r="A2" t="str">
        <f>Koontitaulukko10[[#This Row],[Kuuluuko kriteeri kyseisen laitoksen vastattavaksi]]</f>
        <v>Ei kuulu</v>
      </c>
      <c r="B2" t="str">
        <f>Koontitaulukko10[[#This Row],[Extra-kysymys]]</f>
        <v/>
      </c>
      <c r="C2" t="str">
        <f>Koontitaulukko10[[#This Row],[Kriteerin kokoluokka]]</f>
        <v xml:space="preserve">1,2,3,4 </v>
      </c>
      <c r="D2" t="str">
        <f>Koontitaulukko10[[#This Row],[Kriteerin toimiala]]</f>
        <v>A,B,C,D</v>
      </c>
      <c r="E2" t="str">
        <f>Koontitaulukko10[[#This Row],[Pääkategoria]]</f>
        <v>Turvallinen ja toimintavarma</v>
      </c>
      <c r="F2" t="str">
        <f>Koontitaulukko10[[#This Row],[Alakategoria]]</f>
        <v>_Otsikkorivi</v>
      </c>
      <c r="G2" t="str">
        <f>Koontitaulukko10[[#This Row],[Arviointikriteeri]]</f>
        <v>1. Laadukas, raakaveden laadun huomioiva, kriteerit täyttävä vedenkäsittelyprosessi</v>
      </c>
      <c r="H2" t="str">
        <f>Koontitaulukko10[[#This Row],[Huoltovarmuus]]</f>
        <v>Ei</v>
      </c>
      <c r="I2" t="str">
        <f>Koontitaulukko10[[#This Row],[Vastaus ]]</f>
        <v/>
      </c>
      <c r="J2">
        <f>Koontitaulukko10[[#This Row],[Vastaajan kokoluokka]]</f>
        <v>0</v>
      </c>
      <c r="K2" t="str">
        <f>Koontitaulukko10[[#This Row],[Vastaajan toimiala]]</f>
        <v/>
      </c>
      <c r="L2" t="str">
        <f>Koontitaulukko10[[#This Row],[Kunta]]</f>
        <v/>
      </c>
      <c r="M2" t="str">
        <f>Koontitaulukko10[[#This Row],[Vesilaitoksen nimi]]</f>
        <v/>
      </c>
      <c r="N2" s="73" t="str">
        <f>Koontitaulukko10[[#This Row],[Vastauspvm]]</f>
        <v/>
      </c>
      <c r="O2" s="73"/>
      <c r="P2" s="137"/>
      <c r="Q2" s="137"/>
      <c r="R2" s="137"/>
      <c r="S2" s="137"/>
      <c r="T2" s="137"/>
      <c r="U2" s="137"/>
      <c r="V2" s="137"/>
      <c r="W2" s="137"/>
      <c r="X2" s="137"/>
      <c r="Y2" s="137"/>
    </row>
    <row r="3" spans="1:25" x14ac:dyDescent="0.25">
      <c r="A3" t="str">
        <f>Koontitaulukko10[[#This Row],[Kuuluuko kriteeri kyseisen laitoksen vastattavaksi]]</f>
        <v>Ei kuulu</v>
      </c>
      <c r="B3" t="str">
        <f>Koontitaulukko10[[#This Row],[Extra-kysymys]]</f>
        <v/>
      </c>
      <c r="C3" t="str">
        <f>Koontitaulukko10[[#This Row],[Kriteerin kokoluokka]]</f>
        <v xml:space="preserve">1,2,3,4 </v>
      </c>
      <c r="D3" t="str">
        <f>Koontitaulukko10[[#This Row],[Kriteerin toimiala]]</f>
        <v>A,B</v>
      </c>
      <c r="E3" t="str">
        <f>Koontitaulukko10[[#This Row],[Pääkategoria]]</f>
        <v>Turvallinen ja toimintavarma</v>
      </c>
      <c r="F3" t="str">
        <f>Koontitaulukko10[[#This Row],[Alakategoria]]</f>
        <v>1. Laadukas, raakaveden laadun huomioiva, kriteerit täyttävä vedenkäsittelyprosessi</v>
      </c>
      <c r="G3" t="str">
        <f>Koontitaulukko10[[#This Row],[Arviointikriteeri]]</f>
        <v>1.1 Vesilaitoksella on valmius aloittaa tai järjestää klooridesinfiointi 6 h sisällä talousvesiasetuksen (1352/2015) 20 a pykälän edellyttämällä tavalla.</v>
      </c>
      <c r="H3" t="str">
        <f>Koontitaulukko10[[#This Row],[Huoltovarmuus]]</f>
        <v>Kyllä</v>
      </c>
      <c r="I3" t="str">
        <f>Koontitaulukko10[[#This Row],[Vastaus ]]</f>
        <v/>
      </c>
      <c r="J3">
        <f>Koontitaulukko10[[#This Row],[Vastaajan kokoluokka]]</f>
        <v>0</v>
      </c>
      <c r="K3" t="str">
        <f>Koontitaulukko10[[#This Row],[Vastaajan toimiala]]</f>
        <v/>
      </c>
      <c r="L3" t="str">
        <f>Koontitaulukko10[[#This Row],[Kunta]]</f>
        <v/>
      </c>
      <c r="M3" t="str">
        <f>Koontitaulukko10[[#This Row],[Vesilaitoksen nimi]]</f>
        <v/>
      </c>
      <c r="N3" s="73" t="str">
        <f>Koontitaulukko10[[#This Row],[Vastauspvm]]</f>
        <v/>
      </c>
      <c r="O3" s="73"/>
      <c r="P3" s="137"/>
      <c r="Q3" s="137"/>
      <c r="R3" s="137"/>
      <c r="S3" s="137"/>
      <c r="T3" s="137"/>
      <c r="U3" s="137"/>
      <c r="V3" s="137"/>
      <c r="W3" s="137"/>
      <c r="X3" s="137"/>
      <c r="Y3" s="137"/>
    </row>
    <row r="4" spans="1:25" x14ac:dyDescent="0.25">
      <c r="A4" t="str">
        <f>Koontitaulukko10[[#This Row],[Kuuluuko kriteeri kyseisen laitoksen vastattavaksi]]</f>
        <v>Ei kuulu</v>
      </c>
      <c r="B4" t="str">
        <f>Koontitaulukko10[[#This Row],[Extra-kysymys]]</f>
        <v/>
      </c>
      <c r="C4" t="str">
        <f>Koontitaulukko10[[#This Row],[Kriteerin kokoluokka]]</f>
        <v>1,2,3,4</v>
      </c>
      <c r="D4" t="str">
        <f>Koontitaulukko10[[#This Row],[Kriteerin toimiala]]</f>
        <v>A,B</v>
      </c>
      <c r="E4" t="str">
        <f>Koontitaulukko10[[#This Row],[Pääkategoria]]</f>
        <v>Turvallinen ja toimintavarma</v>
      </c>
      <c r="F4" t="str">
        <f>Koontitaulukko10[[#This Row],[Alakategoria]]</f>
        <v>1. Laadukas, raakaveden laadun huomioiva, kriteerit täyttävä vedenkäsittelyprosessi</v>
      </c>
      <c r="G4" t="str">
        <f>Koontitaulukko10[[#This Row],[Arviointikriteeri]]</f>
        <v>1.2 Klooridesinfiointia testataan säännöllisesti.</v>
      </c>
      <c r="H4" t="str">
        <f>Koontitaulukko10[[#This Row],[Huoltovarmuus]]</f>
        <v>Kyllä</v>
      </c>
      <c r="I4" t="str">
        <f>Koontitaulukko10[[#This Row],[Vastaus ]]</f>
        <v/>
      </c>
      <c r="J4">
        <f>Koontitaulukko10[[#This Row],[Vastaajan kokoluokka]]</f>
        <v>0</v>
      </c>
      <c r="K4" t="str">
        <f>Koontitaulukko10[[#This Row],[Vastaajan toimiala]]</f>
        <v/>
      </c>
      <c r="L4" t="str">
        <f>Koontitaulukko10[[#This Row],[Kunta]]</f>
        <v/>
      </c>
      <c r="M4" t="str">
        <f>Koontitaulukko10[[#This Row],[Vesilaitoksen nimi]]</f>
        <v/>
      </c>
      <c r="N4" s="73" t="str">
        <f>Koontitaulukko10[[#This Row],[Vastauspvm]]</f>
        <v/>
      </c>
      <c r="O4" s="73"/>
      <c r="P4" s="137"/>
      <c r="Q4" s="137"/>
      <c r="R4" s="137"/>
      <c r="S4" s="137"/>
      <c r="T4" s="137"/>
      <c r="U4" s="137"/>
      <c r="V4" s="137"/>
      <c r="W4" s="137"/>
      <c r="X4" s="137"/>
      <c r="Y4" s="137"/>
    </row>
    <row r="5" spans="1:25" x14ac:dyDescent="0.25">
      <c r="A5" t="str">
        <f>Koontitaulukko10[[#This Row],[Kuuluuko kriteeri kyseisen laitoksen vastattavaksi]]</f>
        <v>Ei kuulu</v>
      </c>
      <c r="B5" t="str">
        <f>Koontitaulukko10[[#This Row],[Extra-kysymys]]</f>
        <v/>
      </c>
      <c r="C5" t="str">
        <f>Koontitaulukko10[[#This Row],[Kriteerin kokoluokka]]</f>
        <v>1,2,3,4</v>
      </c>
      <c r="D5" t="str">
        <f>Koontitaulukko10[[#This Row],[Kriteerin toimiala]]</f>
        <v>A,B</v>
      </c>
      <c r="E5" t="str">
        <f>Koontitaulukko10[[#This Row],[Pääkategoria]]</f>
        <v>Turvallinen ja toimintavarma</v>
      </c>
      <c r="F5" t="str">
        <f>Koontitaulukko10[[#This Row],[Alakategoria]]</f>
        <v>1. Laadukas, raakaveden laadun huomioiva, kriteerit täyttävä vedenkäsittelyprosessi</v>
      </c>
      <c r="G5" t="str">
        <f>Koontitaulukko10[[#This Row],[Arviointikriteeri]]</f>
        <v>1.3 Laatuvaatimukset täyttävä vedenlaatu (100 % näytteistä)</v>
      </c>
      <c r="H5" t="str">
        <f>Koontitaulukko10[[#This Row],[Huoltovarmuus]]</f>
        <v>Kyllä</v>
      </c>
      <c r="I5" t="str">
        <f>Koontitaulukko10[[#This Row],[Vastaus ]]</f>
        <v/>
      </c>
      <c r="J5">
        <f>Koontitaulukko10[[#This Row],[Vastaajan kokoluokka]]</f>
        <v>0</v>
      </c>
      <c r="K5" t="str">
        <f>Koontitaulukko10[[#This Row],[Vastaajan toimiala]]</f>
        <v/>
      </c>
      <c r="L5" t="str">
        <f>Koontitaulukko10[[#This Row],[Kunta]]</f>
        <v/>
      </c>
      <c r="M5" t="str">
        <f>Koontitaulukko10[[#This Row],[Vesilaitoksen nimi]]</f>
        <v/>
      </c>
      <c r="N5" s="73" t="str">
        <f>Koontitaulukko10[[#This Row],[Vastauspvm]]</f>
        <v/>
      </c>
      <c r="O5" s="73"/>
      <c r="P5" s="137"/>
      <c r="Q5" s="137"/>
      <c r="R5" s="137"/>
      <c r="S5" s="137"/>
      <c r="T5" s="137"/>
      <c r="U5" s="137"/>
      <c r="V5" s="137"/>
      <c r="W5" s="137"/>
      <c r="X5" s="137"/>
      <c r="Y5" s="137"/>
    </row>
    <row r="6" spans="1:25" x14ac:dyDescent="0.25">
      <c r="A6" t="str">
        <f>Koontitaulukko10[[#This Row],[Kuuluuko kriteeri kyseisen laitoksen vastattavaksi]]</f>
        <v>Ei kuulu</v>
      </c>
      <c r="B6" t="str">
        <f>Koontitaulukko10[[#This Row],[Extra-kysymys]]</f>
        <v/>
      </c>
      <c r="C6" t="str">
        <f>Koontitaulukko10[[#This Row],[Kriteerin kokoluokka]]</f>
        <v>1,2,3,4</v>
      </c>
      <c r="D6" t="str">
        <f>Koontitaulukko10[[#This Row],[Kriteerin toimiala]]</f>
        <v>A,B</v>
      </c>
      <c r="E6" t="str">
        <f>Koontitaulukko10[[#This Row],[Pääkategoria]]</f>
        <v>Turvallinen ja toimintavarma</v>
      </c>
      <c r="F6" t="str">
        <f>Koontitaulukko10[[#This Row],[Alakategoria]]</f>
        <v>1. Laadukas, raakaveden laadun huomioiva, kriteerit täyttävä vedenkäsittelyprosessi</v>
      </c>
      <c r="G6" t="str">
        <f>Koontitaulukko10[[#This Row],[Arviointikriteeri]]</f>
        <v>1.4 Laatutavoitteet täyttävä vedenlaatu (100 % näytteistä)</v>
      </c>
      <c r="H6" t="str">
        <f>Koontitaulukko10[[#This Row],[Huoltovarmuus]]</f>
        <v>Ei</v>
      </c>
      <c r="I6" t="str">
        <f>Koontitaulukko10[[#This Row],[Vastaus ]]</f>
        <v/>
      </c>
      <c r="J6">
        <f>Koontitaulukko10[[#This Row],[Vastaajan kokoluokka]]</f>
        <v>0</v>
      </c>
      <c r="K6" t="str">
        <f>Koontitaulukko10[[#This Row],[Vastaajan toimiala]]</f>
        <v/>
      </c>
      <c r="L6" t="str">
        <f>Koontitaulukko10[[#This Row],[Kunta]]</f>
        <v/>
      </c>
      <c r="M6" t="str">
        <f>Koontitaulukko10[[#This Row],[Vesilaitoksen nimi]]</f>
        <v/>
      </c>
      <c r="N6" s="73" t="str">
        <f>Koontitaulukko10[[#This Row],[Vastauspvm]]</f>
        <v/>
      </c>
      <c r="O6" s="73"/>
      <c r="P6" s="137"/>
      <c r="Q6" s="137"/>
      <c r="R6" s="137"/>
      <c r="S6" s="137"/>
      <c r="T6" s="137"/>
      <c r="U6" s="137"/>
      <c r="V6" s="137"/>
      <c r="W6" s="137"/>
      <c r="X6" s="137"/>
      <c r="Y6" s="137"/>
    </row>
    <row r="7" spans="1:25" x14ac:dyDescent="0.25">
      <c r="A7" t="str">
        <f>Koontitaulukko10[[#This Row],[Kuuluuko kriteeri kyseisen laitoksen vastattavaksi]]</f>
        <v>Ei kuulu</v>
      </c>
      <c r="B7" t="str">
        <f>Koontitaulukko10[[#This Row],[Extra-kysymys]]</f>
        <v/>
      </c>
      <c r="C7" t="str">
        <f>Koontitaulukko10[[#This Row],[Kriteerin kokoluokka]]</f>
        <v>1,2,3,4</v>
      </c>
      <c r="D7" t="str">
        <f>Koontitaulukko10[[#This Row],[Kriteerin toimiala]]</f>
        <v>B</v>
      </c>
      <c r="E7" t="str">
        <f>Koontitaulukko10[[#This Row],[Pääkategoria]]</f>
        <v>Turvallinen ja toimintavarma</v>
      </c>
      <c r="F7" t="str">
        <f>Koontitaulukko10[[#This Row],[Alakategoria]]</f>
        <v>1. Laadukas, raakaveden laadun huomioiva, kriteerit täyttävä vedenkäsittelyprosessi</v>
      </c>
      <c r="G7" t="str">
        <f>Koontitaulukko10[[#This Row],[Arviointikriteeri]]</f>
        <v>1.5 Vesijohtoverkoston paineettomissa putkirikkokorjauksissa rikkoutunut putkilinjaosuus desinfioidaan tai varmistetaan verkoston mikrobiologinen puhtaus tutkimuksin ennen käyttöönottoa.</v>
      </c>
      <c r="H7" t="str">
        <f>Koontitaulukko10[[#This Row],[Huoltovarmuus]]</f>
        <v>Ei</v>
      </c>
      <c r="I7" t="str">
        <f>Koontitaulukko10[[#This Row],[Vastaus ]]</f>
        <v/>
      </c>
      <c r="J7">
        <f>Koontitaulukko10[[#This Row],[Vastaajan kokoluokka]]</f>
        <v>0</v>
      </c>
      <c r="K7" t="str">
        <f>Koontitaulukko10[[#This Row],[Vastaajan toimiala]]</f>
        <v/>
      </c>
      <c r="L7" t="str">
        <f>Koontitaulukko10[[#This Row],[Kunta]]</f>
        <v/>
      </c>
      <c r="M7" t="str">
        <f>Koontitaulukko10[[#This Row],[Vesilaitoksen nimi]]</f>
        <v/>
      </c>
      <c r="N7" s="73" t="str">
        <f>Koontitaulukko10[[#This Row],[Vastauspvm]]</f>
        <v/>
      </c>
      <c r="O7" s="73"/>
      <c r="P7" s="137"/>
      <c r="Q7" s="137"/>
      <c r="R7" s="137"/>
      <c r="S7" s="137"/>
      <c r="T7" s="137"/>
      <c r="U7" s="137"/>
      <c r="V7" s="137"/>
      <c r="W7" s="137"/>
      <c r="X7" s="137"/>
      <c r="Y7" s="137"/>
    </row>
    <row r="8" spans="1:25" x14ac:dyDescent="0.25">
      <c r="A8" t="str">
        <f>Koontitaulukko10[[#This Row],[Kuuluuko kriteeri kyseisen laitoksen vastattavaksi]]</f>
        <v>Ei kuulu</v>
      </c>
      <c r="B8" t="str">
        <f>Koontitaulukko10[[#This Row],[Extra-kysymys]]</f>
        <v/>
      </c>
      <c r="C8" t="str">
        <f>Koontitaulukko10[[#This Row],[Kriteerin kokoluokka]]</f>
        <v>1,2,3,4</v>
      </c>
      <c r="D8" t="str">
        <f>Koontitaulukko10[[#This Row],[Kriteerin toimiala]]</f>
        <v>B</v>
      </c>
      <c r="E8" t="str">
        <f>Koontitaulukko10[[#This Row],[Pääkategoria]]</f>
        <v>Turvallinen ja toimintavarma</v>
      </c>
      <c r="F8" t="str">
        <f>Koontitaulukko10[[#This Row],[Alakategoria]]</f>
        <v>1. Laadukas, raakaveden laadun huomioiva, kriteerit täyttävä vedenkäsittelyprosessi</v>
      </c>
      <c r="G8" t="str">
        <f>Koontitaulukko10[[#This Row],[Arviointikriteeri]]</f>
        <v>1.6 Vedenjakeluverkoston näytteenottopisteiden edustavuus valvontatutkimusohjelmassa on säännöllisesti varmistettu alueelliset erityispiirteet ja WSP:n tulokset huomioon ottaen.</v>
      </c>
      <c r="H8" t="str">
        <f>Koontitaulukko10[[#This Row],[Huoltovarmuus]]</f>
        <v>Ei</v>
      </c>
      <c r="I8" t="str">
        <f>Koontitaulukko10[[#This Row],[Vastaus ]]</f>
        <v/>
      </c>
      <c r="J8">
        <f>Koontitaulukko10[[#This Row],[Vastaajan kokoluokka]]</f>
        <v>0</v>
      </c>
      <c r="K8" t="str">
        <f>Koontitaulukko10[[#This Row],[Vastaajan toimiala]]</f>
        <v/>
      </c>
      <c r="L8" t="str">
        <f>Koontitaulukko10[[#This Row],[Kunta]]</f>
        <v/>
      </c>
      <c r="M8" t="str">
        <f>Koontitaulukko10[[#This Row],[Vesilaitoksen nimi]]</f>
        <v/>
      </c>
      <c r="N8" s="73" t="str">
        <f>Koontitaulukko10[[#This Row],[Vastauspvm]]</f>
        <v/>
      </c>
      <c r="O8" s="73"/>
      <c r="P8" s="137"/>
      <c r="Q8" s="137"/>
      <c r="R8" s="137"/>
      <c r="S8" s="137"/>
      <c r="T8" s="137"/>
      <c r="U8" s="137"/>
      <c r="V8" s="137"/>
      <c r="W8" s="137"/>
      <c r="X8" s="137"/>
      <c r="Y8" s="137"/>
    </row>
    <row r="9" spans="1:25" x14ac:dyDescent="0.25">
      <c r="A9" t="str">
        <f>Koontitaulukko10[[#This Row],[Kuuluuko kriteeri kyseisen laitoksen vastattavaksi]]</f>
        <v>Ei kuulu</v>
      </c>
      <c r="B9" t="str">
        <f>Koontitaulukko10[[#This Row],[Extra-kysymys]]</f>
        <v/>
      </c>
      <c r="C9" t="str">
        <f>Koontitaulukko10[[#This Row],[Kriteerin kokoluokka]]</f>
        <v>2,3,4</v>
      </c>
      <c r="D9" t="str">
        <f>Koontitaulukko10[[#This Row],[Kriteerin toimiala]]</f>
        <v>A</v>
      </c>
      <c r="E9" t="str">
        <f>Koontitaulukko10[[#This Row],[Pääkategoria]]</f>
        <v>Turvallinen ja toimintavarma</v>
      </c>
      <c r="F9" t="str">
        <f>Koontitaulukko10[[#This Row],[Alakategoria]]</f>
        <v>1. Laadukas, raakaveden laadun huomioiva, kriteerit täyttävä vedenkäsittelyprosessi</v>
      </c>
      <c r="G9" t="str">
        <f>Koontitaulukko10[[#This Row],[Arviointikriteeri]]</f>
        <v>1.7 Talousvesi desinfioidaan jatkuvatoimisesti ennen johtamista vedenjakeluverkostoon tai vesihuoltolaitos on tehnyt riskiarvion, jonka perusteella jatkuvatoimiselle talousveden desinfioinnille ei ole tarvetta</v>
      </c>
      <c r="H9" t="str">
        <f>Koontitaulukko10[[#This Row],[Huoltovarmuus]]</f>
        <v>Ei</v>
      </c>
      <c r="I9" t="str">
        <f>Koontitaulukko10[[#This Row],[Vastaus ]]</f>
        <v/>
      </c>
      <c r="J9">
        <f>Koontitaulukko10[[#This Row],[Vastaajan kokoluokka]]</f>
        <v>0</v>
      </c>
      <c r="K9" t="str">
        <f>Koontitaulukko10[[#This Row],[Vastaajan toimiala]]</f>
        <v/>
      </c>
      <c r="L9" t="str">
        <f>Koontitaulukko10[[#This Row],[Kunta]]</f>
        <v/>
      </c>
      <c r="M9" t="str">
        <f>Koontitaulukko10[[#This Row],[Vesilaitoksen nimi]]</f>
        <v/>
      </c>
      <c r="N9" s="73" t="str">
        <f>Koontitaulukko10[[#This Row],[Vastauspvm]]</f>
        <v/>
      </c>
      <c r="O9" s="73"/>
      <c r="P9" s="137"/>
      <c r="Q9" s="137"/>
      <c r="R9" s="137"/>
      <c r="S9" s="137"/>
      <c r="T9" s="137"/>
      <c r="U9" s="137"/>
      <c r="V9" s="137"/>
      <c r="W9" s="137"/>
      <c r="X9" s="137"/>
      <c r="Y9" s="137"/>
    </row>
    <row r="10" spans="1:25" x14ac:dyDescent="0.25">
      <c r="A10" t="str">
        <f>Koontitaulukko10[[#This Row],[Kuuluuko kriteeri kyseisen laitoksen vastattavaksi]]</f>
        <v>Ei kuulu</v>
      </c>
      <c r="B10" t="str">
        <f>Koontitaulukko10[[#This Row],[Extra-kysymys]]</f>
        <v/>
      </c>
      <c r="C10">
        <f>Koontitaulukko10[[#This Row],[Kriteerin kokoluokka]]</f>
        <v>4</v>
      </c>
      <c r="D10" t="str">
        <f>Koontitaulukko10[[#This Row],[Kriteerin toimiala]]</f>
        <v>A</v>
      </c>
      <c r="E10" t="str">
        <f>Koontitaulukko10[[#This Row],[Pääkategoria]]</f>
        <v>Turvallinen ja toimintavarma</v>
      </c>
      <c r="F10" t="str">
        <f>Koontitaulukko10[[#This Row],[Alakategoria]]</f>
        <v>1. Laadukas, raakaveden laadun huomioiva, kriteerit täyttävä vedenkäsittelyprosessi</v>
      </c>
      <c r="G10" t="str">
        <f>Koontitaulukko10[[#This Row],[Arviointikriteeri]]</f>
        <v xml:space="preserve">1.8 Talousveden prosessin taudinaiheuttajien poistoteho (MBA-arvo) on määritetty ja prosessi täyttää vaatimukset. (Vedentuotantoketjun taudinaiheuttajien poistotehon riittävyyttä on arvioitu laskennallisesti eri mikrobiluokkien logaritmisten poistumien avulla. taudinaiheuttajien poistotehon arviointi = microbiological barrier analysis. Lisätietoa  https://www.vvy.fi/verkkokauppa/tuotteet/tyokalu-taudinaiheuttajien-poistotehon-arviointiin-vedentuotantoketjussa/ ) </v>
      </c>
      <c r="H10" t="str">
        <f>Koontitaulukko10[[#This Row],[Huoltovarmuus]]</f>
        <v>Ei</v>
      </c>
      <c r="I10" t="str">
        <f>Koontitaulukko10[[#This Row],[Vastaus ]]</f>
        <v/>
      </c>
      <c r="J10">
        <f>Koontitaulukko10[[#This Row],[Vastaajan kokoluokka]]</f>
        <v>0</v>
      </c>
      <c r="K10" t="str">
        <f>Koontitaulukko10[[#This Row],[Vastaajan toimiala]]</f>
        <v/>
      </c>
      <c r="L10" t="str">
        <f>Koontitaulukko10[[#This Row],[Kunta]]</f>
        <v/>
      </c>
      <c r="M10" t="str">
        <f>Koontitaulukko10[[#This Row],[Vesilaitoksen nimi]]</f>
        <v/>
      </c>
      <c r="N10" s="73" t="str">
        <f>Koontitaulukko10[[#This Row],[Vastauspvm]]</f>
        <v/>
      </c>
      <c r="O10" s="73"/>
      <c r="P10" s="137"/>
      <c r="Q10" s="137"/>
      <c r="R10" s="137"/>
      <c r="S10" s="137"/>
      <c r="T10" s="137"/>
      <c r="U10" s="137"/>
      <c r="V10" s="137"/>
      <c r="W10" s="137"/>
      <c r="X10" s="137"/>
      <c r="Y10" s="137"/>
    </row>
    <row r="11" spans="1:25" x14ac:dyDescent="0.25">
      <c r="A11" t="str">
        <f>Koontitaulukko10[[#This Row],[Kuuluuko kriteeri kyseisen laitoksen vastattavaksi]]</f>
        <v>Ei kuulu</v>
      </c>
      <c r="B11" t="str">
        <f>Koontitaulukko10[[#This Row],[Extra-kysymys]]</f>
        <v/>
      </c>
      <c r="C11">
        <f>Koontitaulukko10[[#This Row],[Kriteerin kokoluokka]]</f>
        <v>4</v>
      </c>
      <c r="D11" t="str">
        <f>Koontitaulukko10[[#This Row],[Kriteerin toimiala]]</f>
        <v>A</v>
      </c>
      <c r="E11" t="str">
        <f>Koontitaulukko10[[#This Row],[Pääkategoria]]</f>
        <v>Turvallinen ja toimintavarma</v>
      </c>
      <c r="F11" t="str">
        <f>Koontitaulukko10[[#This Row],[Alakategoria]]</f>
        <v>1. Laadukas, raakaveden laadun huomioiva, kriteerit täyttävä vedenkäsittelyprosessi</v>
      </c>
      <c r="G11" t="str">
        <f>Koontitaulukko10[[#This Row],[Arviointikriteeri]]</f>
        <v>1.9 Talousveden käsittelyprosessin kriittisten toimintojen toimivuutta on varmistettu kahdentamalla (esim. laitteet, vaihtoehtoinen käsittelyprosessi/kemikaali/toimittaja)</v>
      </c>
      <c r="H11" t="str">
        <f>Koontitaulukko10[[#This Row],[Huoltovarmuus]]</f>
        <v>Kyllä</v>
      </c>
      <c r="I11" t="str">
        <f>Koontitaulukko10[[#This Row],[Vastaus ]]</f>
        <v/>
      </c>
      <c r="J11">
        <f>Koontitaulukko10[[#This Row],[Vastaajan kokoluokka]]</f>
        <v>0</v>
      </c>
      <c r="K11" t="str">
        <f>Koontitaulukko10[[#This Row],[Vastaajan toimiala]]</f>
        <v/>
      </c>
      <c r="L11" t="str">
        <f>Koontitaulukko10[[#This Row],[Kunta]]</f>
        <v/>
      </c>
      <c r="M11" t="str">
        <f>Koontitaulukko10[[#This Row],[Vesilaitoksen nimi]]</f>
        <v/>
      </c>
      <c r="N11" s="73" t="str">
        <f>Koontitaulukko10[[#This Row],[Vastauspvm]]</f>
        <v/>
      </c>
      <c r="O11" s="73"/>
      <c r="P11" s="137"/>
      <c r="Q11" s="137"/>
      <c r="R11" s="137"/>
      <c r="S11" s="137"/>
      <c r="T11" s="137"/>
      <c r="U11" s="137"/>
      <c r="V11" s="137"/>
      <c r="W11" s="137"/>
      <c r="X11" s="137"/>
      <c r="Y11" s="137"/>
    </row>
    <row r="12" spans="1:25" x14ac:dyDescent="0.25">
      <c r="A12" t="str">
        <f>Koontitaulukko10[[#This Row],[Kuuluuko kriteeri kyseisen laitoksen vastattavaksi]]</f>
        <v>Ei kuulu</v>
      </c>
      <c r="B12" t="str">
        <f>Koontitaulukko10[[#This Row],[Extra-kysymys]]</f>
        <v/>
      </c>
      <c r="C12">
        <f>Koontitaulukko10[[#This Row],[Kriteerin kokoluokka]]</f>
        <v>4</v>
      </c>
      <c r="D12" t="str">
        <f>Koontitaulukko10[[#This Row],[Kriteerin toimiala]]</f>
        <v>B</v>
      </c>
      <c r="E12" t="str">
        <f>Koontitaulukko10[[#This Row],[Pääkategoria]]</f>
        <v>Turvallinen ja toimintavarma</v>
      </c>
      <c r="F12" t="str">
        <f>Koontitaulukko10[[#This Row],[Alakategoria]]</f>
        <v>1. Laadukas, raakaveden laadun huomioiva, kriteerit täyttävä vedenkäsittelyprosessi</v>
      </c>
      <c r="G12" t="str">
        <f>Koontitaulukko10[[#This Row],[Arviointikriteeri]]</f>
        <v>1.10. Vesilaitoksella on käytössä omassa tai ulkopuolisen hallinnassa oleva verkostomalli vedenjakelun varmistamiseen ja kehittämiseen.</v>
      </c>
      <c r="H12" t="str">
        <f>Koontitaulukko10[[#This Row],[Huoltovarmuus]]</f>
        <v>Ei</v>
      </c>
      <c r="I12" t="str">
        <f>Koontitaulukko10[[#This Row],[Vastaus ]]</f>
        <v/>
      </c>
      <c r="J12">
        <f>Koontitaulukko10[[#This Row],[Vastaajan kokoluokka]]</f>
        <v>0</v>
      </c>
      <c r="K12" t="str">
        <f>Koontitaulukko10[[#This Row],[Vastaajan toimiala]]</f>
        <v/>
      </c>
      <c r="L12" t="str">
        <f>Koontitaulukko10[[#This Row],[Kunta]]</f>
        <v/>
      </c>
      <c r="M12" t="str">
        <f>Koontitaulukko10[[#This Row],[Vesilaitoksen nimi]]</f>
        <v/>
      </c>
      <c r="N12" s="73" t="str">
        <f>Koontitaulukko10[[#This Row],[Vastauspvm]]</f>
        <v/>
      </c>
      <c r="O12" s="73"/>
      <c r="P12" s="137"/>
      <c r="Q12" s="137"/>
      <c r="R12" s="137"/>
      <c r="S12" s="137"/>
      <c r="T12" s="137"/>
      <c r="U12" s="137"/>
      <c r="V12" s="137"/>
      <c r="W12" s="137"/>
      <c r="X12" s="137"/>
      <c r="Y12" s="137"/>
    </row>
    <row r="13" spans="1:25" x14ac:dyDescent="0.25">
      <c r="A13" t="str">
        <f>Koontitaulukko10[[#This Row],[Kuuluuko kriteeri kyseisen laitoksen vastattavaksi]]</f>
        <v>Ei kuulu</v>
      </c>
      <c r="B13" t="str">
        <f>Koontitaulukko10[[#This Row],[Extra-kysymys]]</f>
        <v/>
      </c>
      <c r="C13">
        <f>Koontitaulukko10[[#This Row],[Kriteerin kokoluokka]]</f>
        <v>5</v>
      </c>
      <c r="D13" t="str">
        <f>Koontitaulukko10[[#This Row],[Kriteerin toimiala]]</f>
        <v>A</v>
      </c>
      <c r="E13" t="str">
        <f>Koontitaulukko10[[#This Row],[Pääkategoria]]</f>
        <v>Turvallinen ja toimintavarma</v>
      </c>
      <c r="F13" t="str">
        <f>Koontitaulukko10[[#This Row],[Alakategoria]]</f>
        <v>1. Laadukas, raakaveden laadun huomioiva, kriteerit täyttävä vedenkäsittelyprosessi</v>
      </c>
      <c r="G13" t="str">
        <f>Koontitaulukko10[[#This Row],[Arviointikriteeri]]</f>
        <v xml:space="preserve">1.11 Talousveden käsittelyprosessin poistoteho on kemiallisen saastumisen tilanteessa arvioitu ja prosessia voidaan tarvittaessa tehostaa. (esim. aktiivihiilen syöttö) </v>
      </c>
      <c r="H13" t="str">
        <f>Koontitaulukko10[[#This Row],[Huoltovarmuus]]</f>
        <v>Ei</v>
      </c>
      <c r="I13" t="str">
        <f>Koontitaulukko10[[#This Row],[Vastaus ]]</f>
        <v/>
      </c>
      <c r="J13">
        <f>Koontitaulukko10[[#This Row],[Vastaajan kokoluokka]]</f>
        <v>0</v>
      </c>
      <c r="K13" t="str">
        <f>Koontitaulukko10[[#This Row],[Vastaajan toimiala]]</f>
        <v/>
      </c>
      <c r="L13" t="str">
        <f>Koontitaulukko10[[#This Row],[Kunta]]</f>
        <v/>
      </c>
      <c r="M13" t="str">
        <f>Koontitaulukko10[[#This Row],[Vesilaitoksen nimi]]</f>
        <v/>
      </c>
      <c r="N13" s="73" t="str">
        <f>Koontitaulukko10[[#This Row],[Vastauspvm]]</f>
        <v/>
      </c>
      <c r="O13" s="73"/>
      <c r="P13" s="137"/>
      <c r="Q13" s="137"/>
      <c r="R13" s="137"/>
      <c r="S13" s="137"/>
      <c r="T13" s="137"/>
      <c r="U13" s="137"/>
      <c r="V13" s="137"/>
      <c r="W13" s="137"/>
      <c r="X13" s="137"/>
      <c r="Y13" s="137"/>
    </row>
    <row r="14" spans="1:25" hidden="1" x14ac:dyDescent="0.25">
      <c r="A14" t="str">
        <f>Koontitaulukko10[[#This Row],[Kuuluuko kriteeri kyseisen laitoksen vastattavaksi]]</f>
        <v>Ei kuulu</v>
      </c>
      <c r="B14" t="str">
        <f>Koontitaulukko10[[#This Row],[Extra-kysymys]]</f>
        <v/>
      </c>
      <c r="C14" t="str">
        <f>Koontitaulukko10[[#This Row],[Kriteerin kokoluokka]]</f>
        <v xml:space="preserve">1,2,3,4 </v>
      </c>
      <c r="D14" t="str">
        <f>Koontitaulukko10[[#This Row],[Kriteerin toimiala]]</f>
        <v>A,B,C,D</v>
      </c>
      <c r="E14" t="str">
        <f>Koontitaulukko10[[#This Row],[Pääkategoria]]</f>
        <v>Turvallinen ja toimintavarma</v>
      </c>
      <c r="F14" t="str">
        <f>Koontitaulukko10[[#This Row],[Alakategoria]]</f>
        <v>_Otsikkorivi</v>
      </c>
      <c r="G14" t="str">
        <f>Koontitaulukko10[[#This Row],[Arviointikriteeri]]</f>
        <v>2. Ajantasainen varautumis- ja valmiussuunnittelu ja yhteistyö muiden toimijoiden kanssa</v>
      </c>
      <c r="H14" t="str">
        <f>Koontitaulukko10[[#This Row],[Huoltovarmuus]]</f>
        <v>Ei</v>
      </c>
      <c r="I14" t="str">
        <f>Koontitaulukko10[[#This Row],[Vastaus ]]</f>
        <v/>
      </c>
      <c r="J14">
        <f>Koontitaulukko10[[#This Row],[Vastaajan kokoluokka]]</f>
        <v>0</v>
      </c>
      <c r="K14" t="str">
        <f>Koontitaulukko10[[#This Row],[Vastaajan toimiala]]</f>
        <v/>
      </c>
      <c r="L14" t="str">
        <f>Koontitaulukko10[[#This Row],[Kunta]]</f>
        <v/>
      </c>
      <c r="M14" t="str">
        <f>Koontitaulukko10[[#This Row],[Vesilaitoksen nimi]]</f>
        <v/>
      </c>
      <c r="N14" s="73" t="str">
        <f>Koontitaulukko10[[#This Row],[Vastauspvm]]</f>
        <v/>
      </c>
      <c r="O14" s="73"/>
      <c r="P14" s="137"/>
      <c r="Q14" s="137"/>
      <c r="R14" s="137"/>
      <c r="S14" s="137"/>
      <c r="T14" s="137"/>
      <c r="U14" s="137"/>
      <c r="V14" s="137"/>
      <c r="W14" s="137"/>
      <c r="X14" s="137"/>
      <c r="Y14" s="137"/>
    </row>
    <row r="15" spans="1:25" x14ac:dyDescent="0.25">
      <c r="A15" t="str">
        <f>Koontitaulukko10[[#This Row],[Kuuluuko kriteeri kyseisen laitoksen vastattavaksi]]</f>
        <v>Ei kuulu</v>
      </c>
      <c r="B15" t="str">
        <f>Koontitaulukko10[[#This Row],[Extra-kysymys]]</f>
        <v/>
      </c>
      <c r="C15" t="str">
        <f>Koontitaulukko10[[#This Row],[Kriteerin kokoluokka]]</f>
        <v>1,2,3,4</v>
      </c>
      <c r="D15" t="str">
        <f>Koontitaulukko10[[#This Row],[Kriteerin toimiala]]</f>
        <v>A,B,C,D</v>
      </c>
      <c r="E15" t="str">
        <f>Koontitaulukko10[[#This Row],[Pääkategoria]]</f>
        <v>Turvallinen ja toimintavarma</v>
      </c>
      <c r="F15" t="str">
        <f>Koontitaulukko10[[#This Row],[Alakategoria]]</f>
        <v>2. Ajantasainen varautumis- ja valmiussuunnittelu ja yhteistyö muiden toimijoiden kanssa</v>
      </c>
      <c r="G15" t="str">
        <f>Koontitaulukko10[[#This Row],[Arviointikriteeri]]</f>
        <v>2.1 Vesihuoltolaitoksella on vähintään vuosittain arvioitava ja tarvittaessa päivitettävä varautumissuunnitelma</v>
      </c>
      <c r="H15" t="str">
        <f>Koontitaulukko10[[#This Row],[Huoltovarmuus]]</f>
        <v>Kyllä</v>
      </c>
      <c r="I15" t="str">
        <f>Koontitaulukko10[[#This Row],[Vastaus ]]</f>
        <v/>
      </c>
      <c r="J15">
        <f>Koontitaulukko10[[#This Row],[Vastaajan kokoluokka]]</f>
        <v>0</v>
      </c>
      <c r="K15" t="str">
        <f>Koontitaulukko10[[#This Row],[Vastaajan toimiala]]</f>
        <v/>
      </c>
      <c r="L15" t="str">
        <f>Koontitaulukko10[[#This Row],[Kunta]]</f>
        <v/>
      </c>
      <c r="M15" t="str">
        <f>Koontitaulukko10[[#This Row],[Vesilaitoksen nimi]]</f>
        <v/>
      </c>
      <c r="N15" s="73" t="str">
        <f>Koontitaulukko10[[#This Row],[Vastauspvm]]</f>
        <v/>
      </c>
      <c r="O15" s="73"/>
      <c r="P15" s="137"/>
      <c r="Q15" s="137"/>
      <c r="R15" s="137"/>
      <c r="S15" s="137"/>
      <c r="T15" s="137"/>
      <c r="U15" s="137"/>
      <c r="V15" s="137"/>
      <c r="W15" s="137"/>
      <c r="X15" s="137"/>
      <c r="Y15" s="137"/>
    </row>
    <row r="16" spans="1:25" x14ac:dyDescent="0.25">
      <c r="A16" t="str">
        <f>Koontitaulukko10[[#This Row],[Kuuluuko kriteeri kyseisen laitoksen vastattavaksi]]</f>
        <v>Ei kuulu</v>
      </c>
      <c r="B16" t="str">
        <f>Koontitaulukko10[[#This Row],[Extra-kysymys]]</f>
        <v/>
      </c>
      <c r="C16" t="str">
        <f>Koontitaulukko10[[#This Row],[Kriteerin kokoluokka]]</f>
        <v>1,2,3,4</v>
      </c>
      <c r="D16" t="str">
        <f>Koontitaulukko10[[#This Row],[Kriteerin toimiala]]</f>
        <v>A,B</v>
      </c>
      <c r="E16" t="str">
        <f>Koontitaulukko10[[#This Row],[Pääkategoria]]</f>
        <v>Turvallinen ja toimintavarma</v>
      </c>
      <c r="F16" t="str">
        <f>Koontitaulukko10[[#This Row],[Alakategoria]]</f>
        <v>2. Ajantasainen varautumis- ja valmiussuunnittelu ja yhteistyö muiden toimijoiden kanssa</v>
      </c>
      <c r="G16" t="str">
        <f>Koontitaulukko10[[#This Row],[Arviointikriteeri]]</f>
        <v>2.2 Talousveden laaturiskejä arvioidaan ja riskienhallintaa kehitetään ja sen toimivuutta seurataan systemaattisesti esim. WSP-työkalun avulla</v>
      </c>
      <c r="H16" t="str">
        <f>Koontitaulukko10[[#This Row],[Huoltovarmuus]]</f>
        <v>Kyllä</v>
      </c>
      <c r="I16" t="str">
        <f>Koontitaulukko10[[#This Row],[Vastaus ]]</f>
        <v/>
      </c>
      <c r="J16">
        <f>Koontitaulukko10[[#This Row],[Vastaajan kokoluokka]]</f>
        <v>0</v>
      </c>
      <c r="K16" t="str">
        <f>Koontitaulukko10[[#This Row],[Vastaajan toimiala]]</f>
        <v/>
      </c>
      <c r="L16" t="str">
        <f>Koontitaulukko10[[#This Row],[Kunta]]</f>
        <v/>
      </c>
      <c r="M16" t="str">
        <f>Koontitaulukko10[[#This Row],[Vesilaitoksen nimi]]</f>
        <v/>
      </c>
      <c r="N16" s="73" t="str">
        <f>Koontitaulukko10[[#This Row],[Vastauspvm]]</f>
        <v/>
      </c>
      <c r="O16" s="73"/>
      <c r="P16" s="137"/>
      <c r="Q16" s="137"/>
      <c r="R16" s="137"/>
      <c r="S16" s="137"/>
      <c r="T16" s="137"/>
      <c r="U16" s="137"/>
      <c r="V16" s="137"/>
      <c r="W16" s="137"/>
      <c r="X16" s="137"/>
      <c r="Y16" s="137"/>
    </row>
    <row r="17" spans="1:25" x14ac:dyDescent="0.25">
      <c r="A17" t="str">
        <f>Koontitaulukko10[[#This Row],[Kuuluuko kriteeri kyseisen laitoksen vastattavaksi]]</f>
        <v>Ei kuulu</v>
      </c>
      <c r="B17" t="str">
        <f>Koontitaulukko10[[#This Row],[Extra-kysymys]]</f>
        <v/>
      </c>
      <c r="C17" t="str">
        <f>Koontitaulukko10[[#This Row],[Kriteerin kokoluokka]]</f>
        <v>1,2,3,4</v>
      </c>
      <c r="D17" t="str">
        <f>Koontitaulukko10[[#This Row],[Kriteerin toimiala]]</f>
        <v>C,D</v>
      </c>
      <c r="E17" t="str">
        <f>Koontitaulukko10[[#This Row],[Pääkategoria]]</f>
        <v>Turvallinen ja toimintavarma</v>
      </c>
      <c r="F17" t="str">
        <f>Koontitaulukko10[[#This Row],[Alakategoria]]</f>
        <v>2. Ajantasainen varautumis- ja valmiussuunnittelu ja yhteistyö muiden toimijoiden kanssa</v>
      </c>
      <c r="G17" t="str">
        <f>Koontitaulukko10[[#This Row],[Arviointikriteeri]]</f>
        <v>2.3 Viemäröinnin ja jätevedenpuhdistuksen ympäristö- ja terveysriskejä arvioidaan ja riskienhallintaa kehitetään systemaattisesti esim. SSP-työkalun avulla</v>
      </c>
      <c r="H17" t="str">
        <f>Koontitaulukko10[[#This Row],[Huoltovarmuus]]</f>
        <v>Kyllä</v>
      </c>
      <c r="I17" t="str">
        <f>Koontitaulukko10[[#This Row],[Vastaus ]]</f>
        <v/>
      </c>
      <c r="J17">
        <f>Koontitaulukko10[[#This Row],[Vastaajan kokoluokka]]</f>
        <v>0</v>
      </c>
      <c r="K17" t="str">
        <f>Koontitaulukko10[[#This Row],[Vastaajan toimiala]]</f>
        <v/>
      </c>
      <c r="L17" t="str">
        <f>Koontitaulukko10[[#This Row],[Kunta]]</f>
        <v/>
      </c>
      <c r="M17" t="str">
        <f>Koontitaulukko10[[#This Row],[Vesilaitoksen nimi]]</f>
        <v/>
      </c>
      <c r="N17" s="73" t="str">
        <f>Koontitaulukko10[[#This Row],[Vastauspvm]]</f>
        <v/>
      </c>
      <c r="O17" s="73"/>
      <c r="P17" s="137"/>
      <c r="Q17" s="137"/>
      <c r="R17" s="137"/>
      <c r="S17" s="137"/>
      <c r="T17" s="137"/>
      <c r="U17" s="137"/>
      <c r="V17" s="137"/>
      <c r="W17" s="137"/>
      <c r="X17" s="137"/>
      <c r="Y17" s="137"/>
    </row>
    <row r="18" spans="1:25" x14ac:dyDescent="0.25">
      <c r="A18" t="str">
        <f>Koontitaulukko10[[#This Row],[Kuuluuko kriteeri kyseisen laitoksen vastattavaksi]]</f>
        <v>Ei kuulu</v>
      </c>
      <c r="B18" t="str">
        <f>Koontitaulukko10[[#This Row],[Extra-kysymys]]</f>
        <v/>
      </c>
      <c r="C18" t="str">
        <f>Koontitaulukko10[[#This Row],[Kriteerin kokoluokka]]</f>
        <v>1,2,3,4</v>
      </c>
      <c r="D18" t="str">
        <f>Koontitaulukko10[[#This Row],[Kriteerin toimiala]]</f>
        <v>A,B,C,D</v>
      </c>
      <c r="E18" t="str">
        <f>Koontitaulukko10[[#This Row],[Pääkategoria]]</f>
        <v>Turvallinen ja toimintavarma</v>
      </c>
      <c r="F18" t="str">
        <f>Koontitaulukko10[[#This Row],[Alakategoria]]</f>
        <v>2. Ajantasainen varautumis- ja valmiussuunnittelu ja yhteistyö muiden toimijoiden kanssa</v>
      </c>
      <c r="G18" t="str">
        <f>Koontitaulukko10[[#This Row],[Arviointikriteeri]]</f>
        <v>2.4 Vesihuoltolaitoksella on tehty häiriötilanneharjoittelu vuoden sisällä yhdessä sidosryhmien kanssa (tai 3 vuoden sisällä jos ei omaa vedentuotantoa)</v>
      </c>
      <c r="H18" t="str">
        <f>Koontitaulukko10[[#This Row],[Huoltovarmuus]]</f>
        <v>Kyllä</v>
      </c>
      <c r="I18" t="str">
        <f>Koontitaulukko10[[#This Row],[Vastaus ]]</f>
        <v/>
      </c>
      <c r="J18">
        <f>Koontitaulukko10[[#This Row],[Vastaajan kokoluokka]]</f>
        <v>0</v>
      </c>
      <c r="K18" t="str">
        <f>Koontitaulukko10[[#This Row],[Vastaajan toimiala]]</f>
        <v/>
      </c>
      <c r="L18" t="str">
        <f>Koontitaulukko10[[#This Row],[Kunta]]</f>
        <v/>
      </c>
      <c r="M18" t="str">
        <f>Koontitaulukko10[[#This Row],[Vesilaitoksen nimi]]</f>
        <v/>
      </c>
      <c r="N18" s="73" t="str">
        <f>Koontitaulukko10[[#This Row],[Vastauspvm]]</f>
        <v/>
      </c>
      <c r="O18" s="73"/>
      <c r="P18" s="137"/>
      <c r="Q18" s="137"/>
      <c r="R18" s="137"/>
      <c r="S18" s="137"/>
      <c r="T18" s="137"/>
      <c r="U18" s="137"/>
      <c r="V18" s="137"/>
      <c r="W18" s="137"/>
      <c r="X18" s="137"/>
      <c r="Y18" s="137"/>
    </row>
    <row r="19" spans="1:25" x14ac:dyDescent="0.25">
      <c r="A19" t="str">
        <f>Koontitaulukko10[[#This Row],[Kuuluuko kriteeri kyseisen laitoksen vastattavaksi]]</f>
        <v>Ei kuulu</v>
      </c>
      <c r="B19" t="str">
        <f>Koontitaulukko10[[#This Row],[Extra-kysymys]]</f>
        <v/>
      </c>
      <c r="C19" t="str">
        <f>Koontitaulukko10[[#This Row],[Kriteerin kokoluokka]]</f>
        <v>1,2,3,4</v>
      </c>
      <c r="D19" t="str">
        <f>Koontitaulukko10[[#This Row],[Kriteerin toimiala]]</f>
        <v>A,B,C,D</v>
      </c>
      <c r="E19" t="str">
        <f>Koontitaulukko10[[#This Row],[Pääkategoria]]</f>
        <v>Turvallinen ja toimintavarma</v>
      </c>
      <c r="F19" t="str">
        <f>Koontitaulukko10[[#This Row],[Alakategoria]]</f>
        <v>2. Ajantasainen varautumis- ja valmiussuunnittelu ja yhteistyö muiden toimijoiden kanssa</v>
      </c>
      <c r="G19" t="str">
        <f>Koontitaulukko10[[#This Row],[Arviointikriteeri]]</f>
        <v>2.5 Vesihuoltopalvelun jatkuvuuden kannalta kriittiset perustoiminnot (esim. veden hankinta, veden käsittely, viemäröinti, jäteveden käsittely jne.) on tunnistettu.</v>
      </c>
      <c r="H19" t="str">
        <f>Koontitaulukko10[[#This Row],[Huoltovarmuus]]</f>
        <v>Kyllä</v>
      </c>
      <c r="I19" t="str">
        <f>Koontitaulukko10[[#This Row],[Vastaus ]]</f>
        <v/>
      </c>
      <c r="J19">
        <f>Koontitaulukko10[[#This Row],[Vastaajan kokoluokka]]</f>
        <v>0</v>
      </c>
      <c r="K19" t="str">
        <f>Koontitaulukko10[[#This Row],[Vastaajan toimiala]]</f>
        <v/>
      </c>
      <c r="L19" t="str">
        <f>Koontitaulukko10[[#This Row],[Kunta]]</f>
        <v/>
      </c>
      <c r="M19" t="str">
        <f>Koontitaulukko10[[#This Row],[Vesilaitoksen nimi]]</f>
        <v/>
      </c>
      <c r="N19" s="73" t="str">
        <f>Koontitaulukko10[[#This Row],[Vastauspvm]]</f>
        <v/>
      </c>
      <c r="O19" s="73"/>
      <c r="P19" s="137"/>
      <c r="Q19" s="137"/>
      <c r="R19" s="137"/>
      <c r="S19" s="137"/>
      <c r="T19" s="137"/>
      <c r="U19" s="137"/>
      <c r="V19" s="137"/>
      <c r="W19" s="137"/>
      <c r="X19" s="137"/>
      <c r="Y19" s="137"/>
    </row>
    <row r="20" spans="1:25" x14ac:dyDescent="0.25">
      <c r="A20" t="str">
        <f>Koontitaulukko10[[#This Row],[Kuuluuko kriteeri kyseisen laitoksen vastattavaksi]]</f>
        <v>Ei kuulu</v>
      </c>
      <c r="B20" t="str">
        <f>Koontitaulukko10[[#This Row],[Extra-kysymys]]</f>
        <v/>
      </c>
      <c r="C20" t="str">
        <f>Koontitaulukko10[[#This Row],[Kriteerin kokoluokka]]</f>
        <v>1,2,3,4</v>
      </c>
      <c r="D20" t="str">
        <f>Koontitaulukko10[[#This Row],[Kriteerin toimiala]]</f>
        <v>A,B</v>
      </c>
      <c r="E20" t="str">
        <f>Koontitaulukko10[[#This Row],[Pääkategoria]]</f>
        <v>Turvallinen ja toimintavarma</v>
      </c>
      <c r="F20" t="str">
        <f>Koontitaulukko10[[#This Row],[Alakategoria]]</f>
        <v>2. Ajantasainen varautumis- ja valmiussuunnittelu ja yhteistyö muiden toimijoiden kanssa</v>
      </c>
      <c r="G20" t="str">
        <f>Koontitaulukko10[[#This Row],[Arviointikriteeri]]</f>
        <v>2.6 Varavedenottamot, varavesilaitokset ja/tai varavesiyhteydet ovat joko jatkuvassa käytössä tai niiden toimintavalmius varmistetaan (esim. näytteenotoin ja koekäyttämällä) säännöllisesti vähintään vuosittain.</v>
      </c>
      <c r="H20" t="str">
        <f>Koontitaulukko10[[#This Row],[Huoltovarmuus]]</f>
        <v>Kyllä</v>
      </c>
      <c r="I20" t="str">
        <f>Koontitaulukko10[[#This Row],[Vastaus ]]</f>
        <v/>
      </c>
      <c r="J20">
        <f>Koontitaulukko10[[#This Row],[Vastaajan kokoluokka]]</f>
        <v>0</v>
      </c>
      <c r="K20" t="str">
        <f>Koontitaulukko10[[#This Row],[Vastaajan toimiala]]</f>
        <v/>
      </c>
      <c r="L20" t="str">
        <f>Koontitaulukko10[[#This Row],[Kunta]]</f>
        <v/>
      </c>
      <c r="M20" t="str">
        <f>Koontitaulukko10[[#This Row],[Vesilaitoksen nimi]]</f>
        <v/>
      </c>
      <c r="N20" s="73" t="str">
        <f>Koontitaulukko10[[#This Row],[Vastauspvm]]</f>
        <v/>
      </c>
      <c r="O20" s="73"/>
      <c r="P20" s="137"/>
      <c r="Q20" s="137"/>
      <c r="R20" s="137"/>
      <c r="S20" s="137"/>
      <c r="T20" s="137"/>
      <c r="U20" s="137"/>
      <c r="V20" s="137"/>
      <c r="W20" s="137"/>
      <c r="X20" s="137"/>
      <c r="Y20" s="137"/>
    </row>
    <row r="21" spans="1:25" x14ac:dyDescent="0.25">
      <c r="A21" t="str">
        <f>Koontitaulukko10[[#This Row],[Kuuluuko kriteeri kyseisen laitoksen vastattavaksi]]</f>
        <v>Ei kuulu</v>
      </c>
      <c r="B21" t="str">
        <f>Koontitaulukko10[[#This Row],[Extra-kysymys]]</f>
        <v/>
      </c>
      <c r="C21" t="str">
        <f>Koontitaulukko10[[#This Row],[Kriteerin kokoluokka]]</f>
        <v>1,2,3,4</v>
      </c>
      <c r="D21" t="str">
        <f>Koontitaulukko10[[#This Row],[Kriteerin toimiala]]</f>
        <v>A,B,C,D</v>
      </c>
      <c r="E21" t="str">
        <f>Koontitaulukko10[[#This Row],[Pääkategoria]]</f>
        <v>Turvallinen ja toimintavarma</v>
      </c>
      <c r="F21" t="str">
        <f>Koontitaulukko10[[#This Row],[Alakategoria]]</f>
        <v>2. Ajantasainen varautumis- ja valmiussuunnittelu ja yhteistyö muiden toimijoiden kanssa</v>
      </c>
      <c r="G21" t="str">
        <f>Koontitaulukko10[[#This Row],[Arviointikriteeri]]</f>
        <v>2.7 Vesihuoltolaitos hallitsee riskiperusteisesti ja oikeasuhtaisesti ilmastonmuutoksen toiminnalleen aiheuttamia riskejä.</v>
      </c>
      <c r="H21" t="str">
        <f>Koontitaulukko10[[#This Row],[Huoltovarmuus]]</f>
        <v>Kyllä</v>
      </c>
      <c r="I21" t="str">
        <f>Koontitaulukko10[[#This Row],[Vastaus ]]</f>
        <v/>
      </c>
      <c r="J21">
        <f>Koontitaulukko10[[#This Row],[Vastaajan kokoluokka]]</f>
        <v>0</v>
      </c>
      <c r="K21" t="str">
        <f>Koontitaulukko10[[#This Row],[Vastaajan toimiala]]</f>
        <v/>
      </c>
      <c r="L21" t="str">
        <f>Koontitaulukko10[[#This Row],[Kunta]]</f>
        <v/>
      </c>
      <c r="M21" t="str">
        <f>Koontitaulukko10[[#This Row],[Vesilaitoksen nimi]]</f>
        <v/>
      </c>
      <c r="N21" s="73" t="str">
        <f>Koontitaulukko10[[#This Row],[Vastauspvm]]</f>
        <v/>
      </c>
      <c r="O21" s="73"/>
      <c r="P21" s="137"/>
      <c r="Q21" s="137"/>
      <c r="R21" s="137"/>
      <c r="S21" s="137"/>
      <c r="T21" s="137"/>
      <c r="U21" s="137"/>
      <c r="V21" s="137"/>
      <c r="W21" s="137"/>
      <c r="X21" s="137"/>
      <c r="Y21" s="137"/>
    </row>
    <row r="22" spans="1:25" x14ac:dyDescent="0.25">
      <c r="A22" t="str">
        <f>Koontitaulukko10[[#This Row],[Kuuluuko kriteeri kyseisen laitoksen vastattavaksi]]</f>
        <v>Ei kuulu</v>
      </c>
      <c r="B22" t="str">
        <f>Koontitaulukko10[[#This Row],[Extra-kysymys]]</f>
        <v/>
      </c>
      <c r="C22" t="str">
        <f>Koontitaulukko10[[#This Row],[Kriteerin kokoluokka]]</f>
        <v>1,2,3,4</v>
      </c>
      <c r="D22" t="str">
        <f>Koontitaulukko10[[#This Row],[Kriteerin toimiala]]</f>
        <v>A,B,C,D</v>
      </c>
      <c r="E22" t="str">
        <f>Koontitaulukko10[[#This Row],[Pääkategoria]]</f>
        <v>Turvallinen ja toimintavarma</v>
      </c>
      <c r="F22" t="str">
        <f>Koontitaulukko10[[#This Row],[Alakategoria]]</f>
        <v>2. Ajantasainen varautumis- ja valmiussuunnittelu ja yhteistyö muiden toimijoiden kanssa</v>
      </c>
      <c r="G22" t="str">
        <f>Koontitaulukko10[[#This Row],[Arviointikriteeri]]</f>
        <v xml:space="preserve">2.8 Toiminnan kannalta kriittisimmät automaatio- ja ICT-järjestelmät on tunnistettu ja niiden tietoturvaa hallitaan riskiperusteisesti. </v>
      </c>
      <c r="H22" t="str">
        <f>Koontitaulukko10[[#This Row],[Huoltovarmuus]]</f>
        <v>Kyllä</v>
      </c>
      <c r="I22" t="str">
        <f>Koontitaulukko10[[#This Row],[Vastaus ]]</f>
        <v/>
      </c>
      <c r="J22">
        <f>Koontitaulukko10[[#This Row],[Vastaajan kokoluokka]]</f>
        <v>0</v>
      </c>
      <c r="K22" t="str">
        <f>Koontitaulukko10[[#This Row],[Vastaajan toimiala]]</f>
        <v/>
      </c>
      <c r="L22" t="str">
        <f>Koontitaulukko10[[#This Row],[Kunta]]</f>
        <v/>
      </c>
      <c r="M22" t="str">
        <f>Koontitaulukko10[[#This Row],[Vesilaitoksen nimi]]</f>
        <v/>
      </c>
      <c r="N22" s="73" t="str">
        <f>Koontitaulukko10[[#This Row],[Vastauspvm]]</f>
        <v/>
      </c>
      <c r="O22" s="73"/>
      <c r="P22" s="137"/>
      <c r="Q22" s="137"/>
      <c r="R22" s="137"/>
      <c r="S22" s="137"/>
      <c r="T22" s="137"/>
      <c r="U22" s="137"/>
      <c r="V22" s="137"/>
      <c r="W22" s="137"/>
      <c r="X22" s="137"/>
      <c r="Y22" s="137"/>
    </row>
    <row r="23" spans="1:25" x14ac:dyDescent="0.25">
      <c r="A23" t="str">
        <f>Koontitaulukko10[[#This Row],[Kuuluuko kriteeri kyseisen laitoksen vastattavaksi]]</f>
        <v>Ei kuulu</v>
      </c>
      <c r="B23" t="str">
        <f>Koontitaulukko10[[#This Row],[Extra-kysymys]]</f>
        <v/>
      </c>
      <c r="C23" t="str">
        <f>Koontitaulukko10[[#This Row],[Kriteerin kokoluokka]]</f>
        <v>1,2,3,4</v>
      </c>
      <c r="D23" t="str">
        <f>Koontitaulukko10[[#This Row],[Kriteerin toimiala]]</f>
        <v>A,B,C,D</v>
      </c>
      <c r="E23" t="str">
        <f>Koontitaulukko10[[#This Row],[Pääkategoria]]</f>
        <v>Turvallinen ja toimintavarma</v>
      </c>
      <c r="F23" t="str">
        <f>Koontitaulukko10[[#This Row],[Alakategoria]]</f>
        <v>2. Ajantasainen varautumis- ja valmiussuunnittelu ja yhteistyö muiden toimijoiden kanssa</v>
      </c>
      <c r="G23" t="str">
        <f>Koontitaulukko10[[#This Row],[Arviointikriteeri]]</f>
        <v>2.9 Vesihuoltolaitos pitää henkilöstön VAP-varaukset ajan tasalla.</v>
      </c>
      <c r="H23" t="str">
        <f>Koontitaulukko10[[#This Row],[Huoltovarmuus]]</f>
        <v>Kyllä</v>
      </c>
      <c r="I23" t="str">
        <f>Koontitaulukko10[[#This Row],[Vastaus ]]</f>
        <v/>
      </c>
      <c r="J23">
        <f>Koontitaulukko10[[#This Row],[Vastaajan kokoluokka]]</f>
        <v>0</v>
      </c>
      <c r="K23" t="str">
        <f>Koontitaulukko10[[#This Row],[Vastaajan toimiala]]</f>
        <v/>
      </c>
      <c r="L23" t="str">
        <f>Koontitaulukko10[[#This Row],[Kunta]]</f>
        <v/>
      </c>
      <c r="M23" t="str">
        <f>Koontitaulukko10[[#This Row],[Vesilaitoksen nimi]]</f>
        <v/>
      </c>
      <c r="N23" s="73" t="str">
        <f>Koontitaulukko10[[#This Row],[Vastauspvm]]</f>
        <v/>
      </c>
      <c r="O23" s="73"/>
    </row>
    <row r="24" spans="1:25" x14ac:dyDescent="0.25">
      <c r="A24" t="str">
        <f>Koontitaulukko10[[#This Row],[Kuuluuko kriteeri kyseisen laitoksen vastattavaksi]]</f>
        <v>Ei kuulu</v>
      </c>
      <c r="B24" t="str">
        <f>Koontitaulukko10[[#This Row],[Extra-kysymys]]</f>
        <v/>
      </c>
      <c r="C24" t="str">
        <f>Koontitaulukko10[[#This Row],[Kriteerin kokoluokka]]</f>
        <v>1,2,3,4</v>
      </c>
      <c r="D24" t="str">
        <f>Koontitaulukko10[[#This Row],[Kriteerin toimiala]]</f>
        <v>A,B,C,D</v>
      </c>
      <c r="E24" t="str">
        <f>Koontitaulukko10[[#This Row],[Pääkategoria]]</f>
        <v>Turvallinen ja toimintavarma</v>
      </c>
      <c r="F24" t="str">
        <f>Koontitaulukko10[[#This Row],[Alakategoria]]</f>
        <v>2. Ajantasainen varautumis- ja valmiussuunnittelu ja yhteistyö muiden toimijoiden kanssa</v>
      </c>
      <c r="G24" t="str">
        <f>Koontitaulukko10[[#This Row],[Arviointikriteeri]]</f>
        <v>2.10 Häiriötilanteisiin varautumisessa tehdään yhteistyötä viranomaisten, kunnan, materiaalitoimittajien, palveluntarjoajien, asiakkaiden ja muiden sidosryhmien kanssa.</v>
      </c>
      <c r="H24" t="str">
        <f>Koontitaulukko10[[#This Row],[Huoltovarmuus]]</f>
        <v>Kyllä</v>
      </c>
      <c r="I24" t="str">
        <f>Koontitaulukko10[[#This Row],[Vastaus ]]</f>
        <v/>
      </c>
      <c r="J24">
        <f>Koontitaulukko10[[#This Row],[Vastaajan kokoluokka]]</f>
        <v>0</v>
      </c>
      <c r="K24" t="str">
        <f>Koontitaulukko10[[#This Row],[Vastaajan toimiala]]</f>
        <v/>
      </c>
      <c r="L24" t="str">
        <f>Koontitaulukko10[[#This Row],[Kunta]]</f>
        <v/>
      </c>
      <c r="M24" t="str">
        <f>Koontitaulukko10[[#This Row],[Vesilaitoksen nimi]]</f>
        <v/>
      </c>
      <c r="N24" s="73" t="str">
        <f>Koontitaulukko10[[#This Row],[Vastauspvm]]</f>
        <v/>
      </c>
      <c r="O24" s="73"/>
      <c r="P24" s="40"/>
      <c r="Q24" s="40"/>
      <c r="R24" s="40"/>
      <c r="S24" s="40"/>
      <c r="T24" s="40"/>
      <c r="U24" s="40"/>
      <c r="V24" s="40"/>
      <c r="W24" s="40"/>
      <c r="X24" s="40"/>
      <c r="Y24" s="40"/>
    </row>
    <row r="25" spans="1:25" x14ac:dyDescent="0.25">
      <c r="A25" t="str">
        <f>Koontitaulukko10[[#This Row],[Kuuluuko kriteeri kyseisen laitoksen vastattavaksi]]</f>
        <v>Ei kuulu</v>
      </c>
      <c r="B25" t="str">
        <f>Koontitaulukko10[[#This Row],[Extra-kysymys]]</f>
        <v/>
      </c>
      <c r="C25">
        <f>Koontitaulukko10[[#This Row],[Kriteerin kokoluokka]]</f>
        <v>1.2</v>
      </c>
      <c r="D25" t="str">
        <f>Koontitaulukko10[[#This Row],[Kriteerin toimiala]]</f>
        <v>A,B</v>
      </c>
      <c r="E25" t="str">
        <f>Koontitaulukko10[[#This Row],[Pääkategoria]]</f>
        <v>Turvallinen ja toimintavarma</v>
      </c>
      <c r="F25" t="str">
        <f>Koontitaulukko10[[#This Row],[Alakategoria]]</f>
        <v>2. Ajantasainen varautumis- ja valmiussuunnittelu ja yhteistyö muiden toimijoiden kanssa</v>
      </c>
      <c r="G25" t="str">
        <f>Koontitaulukko10[[#This Row],[Arviointikriteeri]]</f>
        <v>2.11 Vesihuoltolaitoksen pääasiallinen varmuusluokka on B (Talousvettä käytettävissä ≥ 60 % normaalista kulutuksesta, mikäli vedenjakelualueen pääasiallista vesilähdettä ei voida käyttää).</v>
      </c>
      <c r="H25" t="str">
        <f>Koontitaulukko10[[#This Row],[Huoltovarmuus]]</f>
        <v>Ei</v>
      </c>
      <c r="I25" t="str">
        <f>Koontitaulukko10[[#This Row],[Vastaus ]]</f>
        <v/>
      </c>
      <c r="J25">
        <f>Koontitaulukko10[[#This Row],[Vastaajan kokoluokka]]</f>
        <v>0</v>
      </c>
      <c r="K25" t="str">
        <f>Koontitaulukko10[[#This Row],[Vastaajan toimiala]]</f>
        <v/>
      </c>
      <c r="L25" t="str">
        <f>Koontitaulukko10[[#This Row],[Kunta]]</f>
        <v/>
      </c>
      <c r="M25" t="str">
        <f>Koontitaulukko10[[#This Row],[Vesilaitoksen nimi]]</f>
        <v/>
      </c>
      <c r="N25" s="73" t="str">
        <f>Koontitaulukko10[[#This Row],[Vastauspvm]]</f>
        <v/>
      </c>
      <c r="O25" s="73"/>
      <c r="P25" s="40"/>
      <c r="Q25" s="40"/>
      <c r="R25" s="40"/>
      <c r="S25" s="40"/>
      <c r="T25" s="40"/>
      <c r="U25" s="40"/>
      <c r="V25" s="40"/>
      <c r="W25" s="40"/>
      <c r="X25" s="40"/>
      <c r="Y25" s="40"/>
    </row>
    <row r="26" spans="1:25" x14ac:dyDescent="0.25">
      <c r="A26" t="str">
        <f>Koontitaulukko10[[#This Row],[Kuuluuko kriteeri kyseisen laitoksen vastattavaksi]]</f>
        <v>Ei kuulu</v>
      </c>
      <c r="B26" t="str">
        <f>Koontitaulukko10[[#This Row],[Extra-kysymys]]</f>
        <v/>
      </c>
      <c r="C26" t="str">
        <f>Koontitaulukko10[[#This Row],[Kriteerin kokoluokka]]</f>
        <v>3, 4</v>
      </c>
      <c r="D26" t="str">
        <f>Koontitaulukko10[[#This Row],[Kriteerin toimiala]]</f>
        <v>A,B</v>
      </c>
      <c r="E26" t="str">
        <f>Koontitaulukko10[[#This Row],[Pääkategoria]]</f>
        <v>Turvallinen ja toimintavarma</v>
      </c>
      <c r="F26" t="str">
        <f>Koontitaulukko10[[#This Row],[Alakategoria]]</f>
        <v>2. Ajantasainen varautumis- ja valmiussuunnittelu ja yhteistyö muiden toimijoiden kanssa</v>
      </c>
      <c r="G26" t="str">
        <f>Koontitaulukko10[[#This Row],[Arviointikriteeri]]</f>
        <v>2.11 Vesihuoltolaitoksen pääasiallinen varmuusluokka on A (Talousvettä käytettävissä ≥ 90 % normaalista kulutuksesta, mikäli vedenjakelualueen pääasiallista vesilähdettä ei voida käyttää).</v>
      </c>
      <c r="H26" t="str">
        <f>Koontitaulukko10[[#This Row],[Huoltovarmuus]]</f>
        <v>Kyllä</v>
      </c>
      <c r="I26" t="str">
        <f>Koontitaulukko10[[#This Row],[Vastaus ]]</f>
        <v/>
      </c>
      <c r="J26">
        <f>Koontitaulukko10[[#This Row],[Vastaajan kokoluokka]]</f>
        <v>0</v>
      </c>
      <c r="K26" t="str">
        <f>Koontitaulukko10[[#This Row],[Vastaajan toimiala]]</f>
        <v/>
      </c>
      <c r="L26" t="str">
        <f>Koontitaulukko10[[#This Row],[Kunta]]</f>
        <v/>
      </c>
      <c r="M26" t="str">
        <f>Koontitaulukko10[[#This Row],[Vesilaitoksen nimi]]</f>
        <v/>
      </c>
      <c r="N26" s="73" t="str">
        <f>Koontitaulukko10[[#This Row],[Vastauspvm]]</f>
        <v/>
      </c>
      <c r="O26" s="73"/>
      <c r="P26" s="40"/>
      <c r="Q26" s="40"/>
      <c r="R26" s="40"/>
      <c r="S26" s="40"/>
      <c r="T26" s="40"/>
      <c r="U26" s="40"/>
      <c r="V26" s="40"/>
      <c r="W26" s="40"/>
      <c r="X26" s="40"/>
      <c r="Y26" s="40"/>
    </row>
    <row r="27" spans="1:25" x14ac:dyDescent="0.25">
      <c r="A27" t="str">
        <f>Koontitaulukko10[[#This Row],[Kuuluuko kriteeri kyseisen laitoksen vastattavaksi]]</f>
        <v>Ei kuulu</v>
      </c>
      <c r="B27" t="str">
        <f>Koontitaulukko10[[#This Row],[Extra-kysymys]]</f>
        <v/>
      </c>
      <c r="C27" t="str">
        <f>Koontitaulukko10[[#This Row],[Kriteerin kokoluokka]]</f>
        <v>1,2,3,4</v>
      </c>
      <c r="D27" t="str">
        <f>Koontitaulukko10[[#This Row],[Kriteerin toimiala]]</f>
        <v>A,B</v>
      </c>
      <c r="E27" t="str">
        <f>Koontitaulukko10[[#This Row],[Pääkategoria]]</f>
        <v>Turvallinen ja toimintavarma</v>
      </c>
      <c r="F27" t="str">
        <f>Koontitaulukko10[[#This Row],[Alakategoria]]</f>
        <v>2. Ajantasainen varautumis- ja valmiussuunnittelu ja yhteistyö muiden toimijoiden kanssa</v>
      </c>
      <c r="G27" t="str">
        <f>Koontitaulukko10[[#This Row],[Arviointikriteeri]]</f>
        <v>2.12 Vesihuoltolaitoksen kriittiset sähkönkäyttökohteet talousveden tuotannossa ja jakelussa on tunnistettu ja oikeasuhtaiset toimet sähkönsaannin varmistamiseksi on toteutettu. Kriittisiä ovat kohteet, jotka tarvitaan varmistamaan häiriön aikaista kulutusta vastaava vedentuotanto, vedensaanti yhteiskunnan toimivuuden kannalta kriittisille kohteille ja jakeluverkoston minimipaineen ylläpitoon hygieniariskin välttämiseksi.</v>
      </c>
      <c r="H27" t="str">
        <f>Koontitaulukko10[[#This Row],[Huoltovarmuus]]</f>
        <v>Kyllä</v>
      </c>
      <c r="I27" t="str">
        <f>Koontitaulukko10[[#This Row],[Vastaus ]]</f>
        <v/>
      </c>
      <c r="J27">
        <f>Koontitaulukko10[[#This Row],[Vastaajan kokoluokka]]</f>
        <v>0</v>
      </c>
      <c r="K27" t="str">
        <f>Koontitaulukko10[[#This Row],[Vastaajan toimiala]]</f>
        <v/>
      </c>
      <c r="L27" t="str">
        <f>Koontitaulukko10[[#This Row],[Kunta]]</f>
        <v/>
      </c>
      <c r="M27" t="str">
        <f>Koontitaulukko10[[#This Row],[Vesilaitoksen nimi]]</f>
        <v/>
      </c>
      <c r="N27" s="73" t="str">
        <f>Koontitaulukko10[[#This Row],[Vastauspvm]]</f>
        <v/>
      </c>
      <c r="O27" s="73"/>
      <c r="P27" s="40"/>
      <c r="Q27" s="40"/>
      <c r="R27" s="40"/>
      <c r="S27" s="40"/>
      <c r="T27" s="40"/>
      <c r="U27" s="40"/>
      <c r="V27" s="40"/>
      <c r="W27" s="40"/>
      <c r="X27" s="40"/>
      <c r="Y27" s="40"/>
    </row>
    <row r="28" spans="1:25" x14ac:dyDescent="0.25">
      <c r="A28" t="str">
        <f>Koontitaulukko10[[#This Row],[Kuuluuko kriteeri kyseisen laitoksen vastattavaksi]]</f>
        <v>Ei kuulu</v>
      </c>
      <c r="B28" t="str">
        <f>Koontitaulukko10[[#This Row],[Extra-kysymys]]</f>
        <v/>
      </c>
      <c r="C28" t="str">
        <f>Koontitaulukko10[[#This Row],[Kriteerin kokoluokka]]</f>
        <v>1,2,3,4</v>
      </c>
      <c r="D28" t="str">
        <f>Koontitaulukko10[[#This Row],[Kriteerin toimiala]]</f>
        <v>B,C</v>
      </c>
      <c r="E28" t="str">
        <f>Koontitaulukko10[[#This Row],[Pääkategoria]]</f>
        <v>Turvallinen ja toimintavarma</v>
      </c>
      <c r="F28" t="str">
        <f>Koontitaulukko10[[#This Row],[Alakategoria]]</f>
        <v>2. Ajantasainen varautumis- ja valmiussuunnittelu ja yhteistyö muiden toimijoiden kanssa</v>
      </c>
      <c r="G28" t="str">
        <f>Koontitaulukko10[[#This Row],[Arviointikriteeri]]</f>
        <v xml:space="preserve">2.13 Vesihuoltolaitoksen kriittisimmät sähkönkäyttökohteet viemäröinnissä ja jätevedenpuhdistuksessa on tunnistettu ja oikeasuhtaiset toimet sähkönsaannin varmistamiseksi on toteutettu. Kriittisiä ovat ympäristöterveyden ja ympäristönsuojelun kannalta keskeisimmät jätevedenpumppaamot ja lupaehtojen mukaisen toiminnan edellyttämä jätevedenkäsittely.  </v>
      </c>
      <c r="H28" t="str">
        <f>Koontitaulukko10[[#This Row],[Huoltovarmuus]]</f>
        <v>Kyllä</v>
      </c>
      <c r="I28" t="str">
        <f>Koontitaulukko10[[#This Row],[Vastaus ]]</f>
        <v/>
      </c>
      <c r="J28">
        <f>Koontitaulukko10[[#This Row],[Vastaajan kokoluokka]]</f>
        <v>0</v>
      </c>
      <c r="K28" t="str">
        <f>Koontitaulukko10[[#This Row],[Vastaajan toimiala]]</f>
        <v/>
      </c>
      <c r="L28" t="str">
        <f>Koontitaulukko10[[#This Row],[Kunta]]</f>
        <v/>
      </c>
      <c r="M28" t="str">
        <f>Koontitaulukko10[[#This Row],[Vesilaitoksen nimi]]</f>
        <v/>
      </c>
      <c r="N28" s="73" t="str">
        <f>Koontitaulukko10[[#This Row],[Vastauspvm]]</f>
        <v/>
      </c>
      <c r="O28" s="73"/>
      <c r="P28" s="40"/>
      <c r="Q28" s="40"/>
      <c r="R28" s="40"/>
      <c r="S28" s="40"/>
      <c r="T28" s="40"/>
      <c r="U28" s="40"/>
      <c r="V28" s="40"/>
      <c r="W28" s="40"/>
      <c r="X28" s="40"/>
      <c r="Y28" s="40"/>
    </row>
    <row r="29" spans="1:25" x14ac:dyDescent="0.25">
      <c r="A29" t="str">
        <f>Koontitaulukko10[[#This Row],[Kuuluuko kriteeri kyseisen laitoksen vastattavaksi]]</f>
        <v>Ei kuulu</v>
      </c>
      <c r="B29" t="str">
        <f>Koontitaulukko10[[#This Row],[Extra-kysymys]]</f>
        <v/>
      </c>
      <c r="C29" t="str">
        <f>Koontitaulukko10[[#This Row],[Kriteerin kokoluokka]]</f>
        <v>1,2,3,4</v>
      </c>
      <c r="D29" t="str">
        <f>Koontitaulukko10[[#This Row],[Kriteerin toimiala]]</f>
        <v>A,B,C,D</v>
      </c>
      <c r="E29" t="str">
        <f>Koontitaulukko10[[#This Row],[Pääkategoria]]</f>
        <v>Turvallinen ja toimintavarma</v>
      </c>
      <c r="F29" t="str">
        <f>Koontitaulukko10[[#This Row],[Alakategoria]]</f>
        <v>2. Ajantasainen varautumis- ja valmiussuunnittelu ja yhteistyö muiden toimijoiden kanssa</v>
      </c>
      <c r="G29" t="str">
        <f>Koontitaulukko10[[#This Row],[Arviointikriteeri]]</f>
        <v xml:space="preserve">2.14 Varavoimakoneiden käyttöönotto ja toimivuus testataan säännöllisesti. </v>
      </c>
      <c r="H29" t="str">
        <f>Koontitaulukko10[[#This Row],[Huoltovarmuus]]</f>
        <v>Kyllä</v>
      </c>
      <c r="I29" t="str">
        <f>Koontitaulukko10[[#This Row],[Vastaus ]]</f>
        <v/>
      </c>
      <c r="J29">
        <f>Koontitaulukko10[[#This Row],[Vastaajan kokoluokka]]</f>
        <v>0</v>
      </c>
      <c r="K29" t="str">
        <f>Koontitaulukko10[[#This Row],[Vastaajan toimiala]]</f>
        <v/>
      </c>
      <c r="L29" t="str">
        <f>Koontitaulukko10[[#This Row],[Kunta]]</f>
        <v/>
      </c>
      <c r="M29" t="str">
        <f>Koontitaulukko10[[#This Row],[Vesilaitoksen nimi]]</f>
        <v/>
      </c>
      <c r="N29" s="73" t="str">
        <f>Koontitaulukko10[[#This Row],[Vastauspvm]]</f>
        <v/>
      </c>
      <c r="O29" s="73"/>
      <c r="P29" s="40"/>
      <c r="Q29" s="40"/>
      <c r="R29" s="40"/>
      <c r="S29" s="40"/>
      <c r="T29" s="40"/>
      <c r="U29" s="40"/>
      <c r="V29" s="40"/>
      <c r="W29" s="40"/>
      <c r="X29" s="40"/>
      <c r="Y29" s="40"/>
    </row>
    <row r="30" spans="1:25" x14ac:dyDescent="0.25">
      <c r="A30" t="str">
        <f>Koontitaulukko10[[#This Row],[Kuuluuko kriteeri kyseisen laitoksen vastattavaksi]]</f>
        <v>Ei kuulu</v>
      </c>
      <c r="B30" t="str">
        <f>Koontitaulukko10[[#This Row],[Extra-kysymys]]</f>
        <v/>
      </c>
      <c r="C30" t="str">
        <f>Koontitaulukko10[[#This Row],[Kriteerin kokoluokka]]</f>
        <v xml:space="preserve">1,2,3,4 </v>
      </c>
      <c r="D30" t="str">
        <f>Koontitaulukko10[[#This Row],[Kriteerin toimiala]]</f>
        <v>A,B,C,D</v>
      </c>
      <c r="E30" t="str">
        <f>Koontitaulukko10[[#This Row],[Pääkategoria]]</f>
        <v>Turvallinen ja toimintavarma</v>
      </c>
      <c r="F30" t="str">
        <f>Koontitaulukko10[[#This Row],[Alakategoria]]</f>
        <v>2. Ajantasainen varautumis- ja valmiussuunnittelu ja yhteistyö muiden toimijoiden kanssa</v>
      </c>
      <c r="G30" t="str">
        <f>Koontitaulukko10[[#This Row],[Arviointikriteeri]]</f>
        <v>2.15 Vesihuoltolaitos on selvittänyt materiaalisia yhteistyötarpeita ja -mahdollisuuksia muiden vesihuoltolaitosten kanssa. Jos yhteisiä tarpeita ja mahdollisuuksia on havaittu, on tehty yhteistyösopimuksia (esim. varavoima, vedenjakelukalusto, kemikaalit, varaosat).</v>
      </c>
      <c r="H30" t="str">
        <f>Koontitaulukko10[[#This Row],[Huoltovarmuus]]</f>
        <v>Kyllä</v>
      </c>
      <c r="I30" t="str">
        <f>Koontitaulukko10[[#This Row],[Vastaus ]]</f>
        <v/>
      </c>
      <c r="J30">
        <f>Koontitaulukko10[[#This Row],[Vastaajan kokoluokka]]</f>
        <v>0</v>
      </c>
      <c r="K30" t="str">
        <f>Koontitaulukko10[[#This Row],[Vastaajan toimiala]]</f>
        <v/>
      </c>
      <c r="L30" t="str">
        <f>Koontitaulukko10[[#This Row],[Kunta]]</f>
        <v/>
      </c>
      <c r="M30" t="str">
        <f>Koontitaulukko10[[#This Row],[Vesilaitoksen nimi]]</f>
        <v/>
      </c>
      <c r="N30" s="73" t="str">
        <f>Koontitaulukko10[[#This Row],[Vastauspvm]]</f>
        <v/>
      </c>
      <c r="O30" s="73"/>
      <c r="P30" s="40"/>
      <c r="Q30" s="40"/>
      <c r="R30" s="40"/>
      <c r="S30" s="40"/>
      <c r="T30" s="40"/>
      <c r="U30" s="40"/>
      <c r="V30" s="40"/>
      <c r="W30" s="40"/>
      <c r="X30" s="40"/>
      <c r="Y30" s="40"/>
    </row>
    <row r="31" spans="1:25" x14ac:dyDescent="0.25">
      <c r="A31" t="str">
        <f>Koontitaulukko10[[#This Row],[Kuuluuko kriteeri kyseisen laitoksen vastattavaksi]]</f>
        <v>Ei kuulu</v>
      </c>
      <c r="B31" t="str">
        <f>Koontitaulukko10[[#This Row],[Extra-kysymys]]</f>
        <v/>
      </c>
      <c r="C31" t="str">
        <f>Koontitaulukko10[[#This Row],[Kriteerin kokoluokka]]</f>
        <v xml:space="preserve">1,2,3,4 </v>
      </c>
      <c r="D31" t="str">
        <f>Koontitaulukko10[[#This Row],[Kriteerin toimiala]]</f>
        <v>A,B,C,D</v>
      </c>
      <c r="E31" t="str">
        <f>Koontitaulukko10[[#This Row],[Pääkategoria]]</f>
        <v>Turvallinen ja toimintavarma</v>
      </c>
      <c r="F31" t="str">
        <f>Koontitaulukko10[[#This Row],[Alakategoria]]</f>
        <v>2. Ajantasainen varautumis- ja valmiussuunnittelu ja yhteistyö muiden toimijoiden kanssa</v>
      </c>
      <c r="G31" t="str">
        <f>Koontitaulukko10[[#This Row],[Arviointikriteeri]]</f>
        <v>2.16 Vesihuoltolaitos on selvittänyt toiminnallisia yhteistyötarpeita ja -mahdollisuuksia muiden vesihuoltolaitosten kanssa. Jos yhteisiä tarpeita ja mahdollisuuksia on havaittu, on tehty yhteistyösopimuksia (esim. häiriötilanneharjoittelu, päivystys, valvonta, organisointi, hankinnat).</v>
      </c>
      <c r="H31" t="str">
        <f>Koontitaulukko10[[#This Row],[Huoltovarmuus]]</f>
        <v>Kyllä</v>
      </c>
      <c r="I31" t="str">
        <f>Koontitaulukko10[[#This Row],[Vastaus ]]</f>
        <v/>
      </c>
      <c r="J31">
        <f>Koontitaulukko10[[#This Row],[Vastaajan kokoluokka]]</f>
        <v>0</v>
      </c>
      <c r="K31" t="str">
        <f>Koontitaulukko10[[#This Row],[Vastaajan toimiala]]</f>
        <v/>
      </c>
      <c r="L31" t="str">
        <f>Koontitaulukko10[[#This Row],[Kunta]]</f>
        <v/>
      </c>
      <c r="M31" t="str">
        <f>Koontitaulukko10[[#This Row],[Vesilaitoksen nimi]]</f>
        <v/>
      </c>
      <c r="N31" s="73" t="str">
        <f>Koontitaulukko10[[#This Row],[Vastauspvm]]</f>
        <v/>
      </c>
      <c r="O31" s="73"/>
      <c r="P31" s="40"/>
      <c r="Q31" s="40"/>
      <c r="R31" s="40"/>
      <c r="S31" s="40"/>
      <c r="T31" s="40"/>
      <c r="U31" s="40"/>
      <c r="V31" s="40"/>
      <c r="W31" s="40"/>
      <c r="X31" s="40"/>
      <c r="Y31" s="40"/>
    </row>
    <row r="32" spans="1:25" x14ac:dyDescent="0.25">
      <c r="A32" t="str">
        <f>Koontitaulukko10[[#This Row],[Kuuluuko kriteeri kyseisen laitoksen vastattavaksi]]</f>
        <v>Ei kuulu</v>
      </c>
      <c r="B32" t="str">
        <f>Koontitaulukko10[[#This Row],[Extra-kysymys]]</f>
        <v/>
      </c>
      <c r="C32" t="str">
        <f>Koontitaulukko10[[#This Row],[Kriteerin kokoluokka]]</f>
        <v xml:space="preserve">1,2,3,4 </v>
      </c>
      <c r="D32" t="str">
        <f>Koontitaulukko10[[#This Row],[Kriteerin toimiala]]</f>
        <v>B,C</v>
      </c>
      <c r="E32" t="str">
        <f>Koontitaulukko10[[#This Row],[Pääkategoria]]</f>
        <v>Turvallinen ja toimintavarma</v>
      </c>
      <c r="F32" t="str">
        <f>Koontitaulukko10[[#This Row],[Alakategoria]]</f>
        <v>2. Ajantasainen varautumis- ja valmiussuunnittelu ja yhteistyö muiden toimijoiden kanssa</v>
      </c>
      <c r="G32" t="str">
        <f>Koontitaulukko10[[#This Row],[Arviointikriteeri]]</f>
        <v>2.17 On selvitetty mahdollisuuksia ja tarvetta vesihuoltolaitosten välisiin olennaisiin normaali/poikkeustilanteen verkostoyhteyksiin ja jos tarve on tunnistettu, on tehty sopimukset, rakennettu yhteydet sekä sovittu käytännöistä.</v>
      </c>
      <c r="H32" t="str">
        <f>Koontitaulukko10[[#This Row],[Huoltovarmuus]]</f>
        <v>Kyllä</v>
      </c>
      <c r="I32" t="str">
        <f>Koontitaulukko10[[#This Row],[Vastaus ]]</f>
        <v/>
      </c>
      <c r="J32">
        <f>Koontitaulukko10[[#This Row],[Vastaajan kokoluokka]]</f>
        <v>0</v>
      </c>
      <c r="K32" t="str">
        <f>Koontitaulukko10[[#This Row],[Vastaajan toimiala]]</f>
        <v/>
      </c>
      <c r="L32" t="str">
        <f>Koontitaulukko10[[#This Row],[Kunta]]</f>
        <v/>
      </c>
      <c r="M32" t="str">
        <f>Koontitaulukko10[[#This Row],[Vesilaitoksen nimi]]</f>
        <v/>
      </c>
      <c r="N32" s="73" t="str">
        <f>Koontitaulukko10[[#This Row],[Vastauspvm]]</f>
        <v/>
      </c>
      <c r="O32" s="73"/>
      <c r="P32" s="40"/>
      <c r="Q32" s="40"/>
      <c r="R32" s="40"/>
      <c r="S32" s="40"/>
      <c r="T32" s="40"/>
      <c r="U32" s="40"/>
      <c r="V32" s="40"/>
      <c r="W32" s="40"/>
      <c r="X32" s="40"/>
      <c r="Y32" s="40"/>
    </row>
    <row r="33" spans="1:25" x14ac:dyDescent="0.25">
      <c r="A33" t="str">
        <f>Koontitaulukko10[[#This Row],[Kuuluuko kriteeri kyseisen laitoksen vastattavaksi]]</f>
        <v>Ei kuulu</v>
      </c>
      <c r="B33" t="str">
        <f>Koontitaulukko10[[#This Row],[Extra-kysymys]]</f>
        <v/>
      </c>
      <c r="C33" t="str">
        <f>Koontitaulukko10[[#This Row],[Kriteerin kokoluokka]]</f>
        <v>1,2,3,4</v>
      </c>
      <c r="D33" t="str">
        <f>Koontitaulukko10[[#This Row],[Kriteerin toimiala]]</f>
        <v>A,B,C,D</v>
      </c>
      <c r="E33" t="str">
        <f>Koontitaulukko10[[#This Row],[Pääkategoria]]</f>
        <v>Turvallinen ja toimintavarma</v>
      </c>
      <c r="F33" t="str">
        <f>Koontitaulukko10[[#This Row],[Alakategoria]]</f>
        <v>2. Ajantasainen varautumis- ja valmiussuunnittelu ja yhteistyö muiden toimijoiden kanssa</v>
      </c>
      <c r="G33" t="str">
        <f>Koontitaulukko10[[#This Row],[Arviointikriteeri]]</f>
        <v>2.18 Vesihuoltolaitoksen kohteiden (esim. kiinteistöjen, toimitilojen) riittävästä fyysisestä turvallisuudesta (lukitus, kulunseuranta, aitaus, valvontakamerat tms.)  on huolehdittu asianmukaisesti ottaen huomioon niiden kriittisyys.</v>
      </c>
      <c r="H33" t="str">
        <f>Koontitaulukko10[[#This Row],[Huoltovarmuus]]</f>
        <v>Kyllä</v>
      </c>
      <c r="I33" t="str">
        <f>Koontitaulukko10[[#This Row],[Vastaus ]]</f>
        <v/>
      </c>
      <c r="J33">
        <f>Koontitaulukko10[[#This Row],[Vastaajan kokoluokka]]</f>
        <v>0</v>
      </c>
      <c r="K33" t="str">
        <f>Koontitaulukko10[[#This Row],[Vastaajan toimiala]]</f>
        <v/>
      </c>
      <c r="L33" t="str">
        <f>Koontitaulukko10[[#This Row],[Kunta]]</f>
        <v/>
      </c>
      <c r="M33" t="str">
        <f>Koontitaulukko10[[#This Row],[Vesilaitoksen nimi]]</f>
        <v/>
      </c>
      <c r="N33" s="73" t="str">
        <f>Koontitaulukko10[[#This Row],[Vastauspvm]]</f>
        <v/>
      </c>
      <c r="O33" s="73"/>
      <c r="P33" s="40"/>
      <c r="Q33" s="40"/>
      <c r="R33" s="40"/>
      <c r="S33" s="40"/>
      <c r="T33" s="40"/>
      <c r="U33" s="40"/>
      <c r="V33" s="40"/>
      <c r="W33" s="40"/>
      <c r="X33" s="40"/>
      <c r="Y33" s="40"/>
    </row>
    <row r="34" spans="1:25" x14ac:dyDescent="0.25">
      <c r="A34" t="str">
        <f>Koontitaulukko10[[#This Row],[Kuuluuko kriteeri kyseisen laitoksen vastattavaksi]]</f>
        <v>Ei kuulu</v>
      </c>
      <c r="B34" t="str">
        <f>Koontitaulukko10[[#This Row],[Extra-kysymys]]</f>
        <v/>
      </c>
      <c r="C34" t="str">
        <f>Koontitaulukko10[[#This Row],[Kriteerin kokoluokka]]</f>
        <v>1,2,3,4</v>
      </c>
      <c r="D34" t="str">
        <f>Koontitaulukko10[[#This Row],[Kriteerin toimiala]]</f>
        <v>A,B,C,D</v>
      </c>
      <c r="E34" t="str">
        <f>Koontitaulukko10[[#This Row],[Pääkategoria]]</f>
        <v>Turvallinen ja toimintavarma</v>
      </c>
      <c r="F34" t="str">
        <f>Koontitaulukko10[[#This Row],[Alakategoria]]</f>
        <v>2. Ajantasainen varautumis- ja valmiussuunnittelu ja yhteistyö muiden toimijoiden kanssa</v>
      </c>
      <c r="G34" t="str">
        <f>Koontitaulukko10[[#This Row],[Arviointikriteeri]]</f>
        <v xml:space="preserve">2.19 Vesihuoltolaitos on määritellyt vesihuoltopalvelun jatkuvuuden kannalta kriittisiä tehtäviä hoitavat henkilöryhmät (oma ja palveluntarjoajien henkilöstö sekä vierailijat) ja käytössä on tarvittavat oikeasuhtaiset toimenpiteet henkilöturvallisuuden varmistamiseksi (esim. pääsyoikeudet, turvallisuusosaaminen). </v>
      </c>
      <c r="H34" t="str">
        <f>Koontitaulukko10[[#This Row],[Huoltovarmuus]]</f>
        <v>Kyllä</v>
      </c>
      <c r="I34" t="str">
        <f>Koontitaulukko10[[#This Row],[Vastaus ]]</f>
        <v/>
      </c>
      <c r="J34">
        <f>Koontitaulukko10[[#This Row],[Vastaajan kokoluokka]]</f>
        <v>0</v>
      </c>
      <c r="K34" t="str">
        <f>Koontitaulukko10[[#This Row],[Vastaajan toimiala]]</f>
        <v/>
      </c>
      <c r="L34" t="str">
        <f>Koontitaulukko10[[#This Row],[Kunta]]</f>
        <v/>
      </c>
      <c r="M34" t="str">
        <f>Koontitaulukko10[[#This Row],[Vesilaitoksen nimi]]</f>
        <v/>
      </c>
      <c r="N34" s="73" t="str">
        <f>Koontitaulukko10[[#This Row],[Vastauspvm]]</f>
        <v/>
      </c>
      <c r="O34" s="73"/>
      <c r="P34" s="40"/>
      <c r="Q34" s="40"/>
      <c r="R34" s="40"/>
      <c r="S34" s="40"/>
      <c r="T34" s="40"/>
      <c r="U34" s="40"/>
      <c r="V34" s="40"/>
      <c r="W34" s="40"/>
      <c r="X34" s="40"/>
      <c r="Y34" s="40"/>
    </row>
    <row r="35" spans="1:25" x14ac:dyDescent="0.25">
      <c r="A35" t="str">
        <f>Koontitaulukko10[[#This Row],[Kuuluuko kriteeri kyseisen laitoksen vastattavaksi]]</f>
        <v>Ei kuulu</v>
      </c>
      <c r="B35" t="str">
        <f>Koontitaulukko10[[#This Row],[Extra-kysymys]]</f>
        <v/>
      </c>
      <c r="C35" t="str">
        <f>Koontitaulukko10[[#This Row],[Kriteerin kokoluokka]]</f>
        <v>1,2,3,4</v>
      </c>
      <c r="D35" t="str">
        <f>Koontitaulukko10[[#This Row],[Kriteerin toimiala]]</f>
        <v>A,B,C,D</v>
      </c>
      <c r="E35" t="str">
        <f>Koontitaulukko10[[#This Row],[Pääkategoria]]</f>
        <v>Turvallinen ja toimintavarma</v>
      </c>
      <c r="F35" t="str">
        <f>Koontitaulukko10[[#This Row],[Alakategoria]]</f>
        <v>2. Ajantasainen varautumis- ja valmiussuunnittelu ja yhteistyö muiden toimijoiden kanssa</v>
      </c>
      <c r="G35" t="str">
        <f>Koontitaulukko10[[#This Row],[Arviointikriteeri]]</f>
        <v xml:space="preserve">2.20 Vesihuoltolaitoksella on häiriötilanteiden hoitoa varten etukäteen sovittu ja harjoiteltu toimintatapa tilannekuvan kokoamiseen ja ylläpitoon. </v>
      </c>
      <c r="H35" t="str">
        <f>Koontitaulukko10[[#This Row],[Huoltovarmuus]]</f>
        <v>Kyllä</v>
      </c>
      <c r="I35" t="str">
        <f>Koontitaulukko10[[#This Row],[Vastaus ]]</f>
        <v/>
      </c>
      <c r="J35">
        <f>Koontitaulukko10[[#This Row],[Vastaajan kokoluokka]]</f>
        <v>0</v>
      </c>
      <c r="K35" t="str">
        <f>Koontitaulukko10[[#This Row],[Vastaajan toimiala]]</f>
        <v/>
      </c>
      <c r="L35" t="str">
        <f>Koontitaulukko10[[#This Row],[Kunta]]</f>
        <v/>
      </c>
      <c r="M35" t="str">
        <f>Koontitaulukko10[[#This Row],[Vesilaitoksen nimi]]</f>
        <v/>
      </c>
      <c r="N35" s="73" t="str">
        <f>Koontitaulukko10[[#This Row],[Vastauspvm]]</f>
        <v/>
      </c>
      <c r="O35" s="73"/>
      <c r="P35" s="40"/>
      <c r="Q35" s="40"/>
      <c r="R35" s="40"/>
      <c r="S35" s="40"/>
      <c r="T35" s="40"/>
      <c r="U35" s="40"/>
      <c r="V35" s="40"/>
      <c r="W35" s="40"/>
      <c r="X35" s="40"/>
      <c r="Y35" s="40"/>
    </row>
    <row r="36" spans="1:25" x14ac:dyDescent="0.25">
      <c r="A36" t="str">
        <f>Koontitaulukko10[[#This Row],[Kuuluuko kriteeri kyseisen laitoksen vastattavaksi]]</f>
        <v>Ei kuulu</v>
      </c>
      <c r="B36" t="str">
        <f>Koontitaulukko10[[#This Row],[Extra-kysymys]]</f>
        <v/>
      </c>
      <c r="C36">
        <f>Koontitaulukko10[[#This Row],[Kriteerin kokoluokka]]</f>
        <v>3.4</v>
      </c>
      <c r="D36" t="str">
        <f>Koontitaulukko10[[#This Row],[Kriteerin toimiala]]</f>
        <v>A,B,C,D</v>
      </c>
      <c r="E36" t="str">
        <f>Koontitaulukko10[[#This Row],[Pääkategoria]]</f>
        <v>Turvallinen ja toimintavarma</v>
      </c>
      <c r="F36" t="str">
        <f>Koontitaulukko10[[#This Row],[Alakategoria]]</f>
        <v>2. Ajantasainen varautumis- ja valmiussuunnittelu ja yhteistyö muiden toimijoiden kanssa</v>
      </c>
      <c r="G36" t="str">
        <f>Koontitaulukko10[[#This Row],[Arviointikriteeri]]</f>
        <v>2.21 Vesihuoltolaitoksella on laadittu toiminnan kannalta kriittisten automaatio- ja ICT-järjestelmien häiriötilanteiden varajärjestelyt ja häiriöistä toipuminen on suunniteltu. Tietoturvaa havainnoidaan.</v>
      </c>
      <c r="H36" t="str">
        <f>Koontitaulukko10[[#This Row],[Huoltovarmuus]]</f>
        <v>Kyllä</v>
      </c>
      <c r="I36" t="str">
        <f>Koontitaulukko10[[#This Row],[Vastaus ]]</f>
        <v/>
      </c>
      <c r="J36">
        <f>Koontitaulukko10[[#This Row],[Vastaajan kokoluokka]]</f>
        <v>0</v>
      </c>
      <c r="K36" t="str">
        <f>Koontitaulukko10[[#This Row],[Vastaajan toimiala]]</f>
        <v/>
      </c>
      <c r="L36" t="str">
        <f>Koontitaulukko10[[#This Row],[Kunta]]</f>
        <v/>
      </c>
      <c r="M36" t="str">
        <f>Koontitaulukko10[[#This Row],[Vesilaitoksen nimi]]</f>
        <v/>
      </c>
      <c r="N36" s="73" t="str">
        <f>Koontitaulukko10[[#This Row],[Vastauspvm]]</f>
        <v/>
      </c>
      <c r="O36" s="73"/>
      <c r="P36" s="40"/>
      <c r="Q36" s="40"/>
      <c r="R36" s="40"/>
      <c r="S36" s="40"/>
      <c r="T36" s="40"/>
      <c r="U36" s="40"/>
      <c r="V36" s="40"/>
      <c r="W36" s="40"/>
      <c r="X36" s="40"/>
      <c r="Y36" s="40"/>
    </row>
    <row r="37" spans="1:25" x14ac:dyDescent="0.25">
      <c r="A37" t="str">
        <f>Koontitaulukko10[[#This Row],[Kuuluuko kriteeri kyseisen laitoksen vastattavaksi]]</f>
        <v>Ei kuulu</v>
      </c>
      <c r="B37" t="str">
        <f>Koontitaulukko10[[#This Row],[Extra-kysymys]]</f>
        <v/>
      </c>
      <c r="C37">
        <f>Koontitaulukko10[[#This Row],[Kriteerin kokoluokka]]</f>
        <v>3.4</v>
      </c>
      <c r="D37" t="str">
        <f>Koontitaulukko10[[#This Row],[Kriteerin toimiala]]</f>
        <v>A,B,C,D</v>
      </c>
      <c r="E37" t="str">
        <f>Koontitaulukko10[[#This Row],[Pääkategoria]]</f>
        <v>Turvallinen ja toimintavarma</v>
      </c>
      <c r="F37" t="str">
        <f>Koontitaulukko10[[#This Row],[Alakategoria]]</f>
        <v>2. Ajantasainen varautumis- ja valmiussuunnittelu ja yhteistyö muiden toimijoiden kanssa</v>
      </c>
      <c r="G37" t="str">
        <f>Koontitaulukko10[[#This Row],[Arviointikriteeri]]</f>
        <v xml:space="preserve"> 2.22 Vesihuoltopalvelun jatkuvuuden kannalta kriittiset perustoiminnot (esim. veden hankinta, veden käsittely, viemäröinti, jäteveden käsittely jne.) on tunnistettu ja arvioitu ja niiden toiminnalle on asetettu tavoitteet. Kriittisten toimintojen jatkuvuuden varmistamiseksi tarvittavat toimenpiteet on määritelty ja käytössä. </v>
      </c>
      <c r="H37" t="str">
        <f>Koontitaulukko10[[#This Row],[Huoltovarmuus]]</f>
        <v>Kyllä</v>
      </c>
      <c r="I37" t="str">
        <f>Koontitaulukko10[[#This Row],[Vastaus ]]</f>
        <v/>
      </c>
      <c r="J37">
        <f>Koontitaulukko10[[#This Row],[Vastaajan kokoluokka]]</f>
        <v>0</v>
      </c>
      <c r="K37" t="str">
        <f>Koontitaulukko10[[#This Row],[Vastaajan toimiala]]</f>
        <v/>
      </c>
      <c r="L37" t="str">
        <f>Koontitaulukko10[[#This Row],[Kunta]]</f>
        <v/>
      </c>
      <c r="M37" t="str">
        <f>Koontitaulukko10[[#This Row],[Vesilaitoksen nimi]]</f>
        <v/>
      </c>
      <c r="N37" s="73" t="str">
        <f>Koontitaulukko10[[#This Row],[Vastauspvm]]</f>
        <v/>
      </c>
      <c r="O37" s="73"/>
      <c r="P37" s="40"/>
      <c r="Q37" s="40"/>
      <c r="R37" s="40"/>
      <c r="S37" s="40"/>
      <c r="T37" s="40"/>
      <c r="U37" s="40"/>
      <c r="V37" s="40"/>
      <c r="W37" s="40"/>
      <c r="X37" s="40"/>
      <c r="Y37" s="40"/>
    </row>
    <row r="38" spans="1:25" x14ac:dyDescent="0.25">
      <c r="A38" t="str">
        <f>Koontitaulukko10[[#This Row],[Kuuluuko kriteeri kyseisen laitoksen vastattavaksi]]</f>
        <v>Ei kuulu</v>
      </c>
      <c r="B38" t="str">
        <f>Koontitaulukko10[[#This Row],[Extra-kysymys]]</f>
        <v/>
      </c>
      <c r="C38" t="str">
        <f>Koontitaulukko10[[#This Row],[Kriteerin kokoluokka]]</f>
        <v>3, 4</v>
      </c>
      <c r="D38" t="str">
        <f>Koontitaulukko10[[#This Row],[Kriteerin toimiala]]</f>
        <v>A,B,C,D</v>
      </c>
      <c r="E38" t="str">
        <f>Koontitaulukko10[[#This Row],[Pääkategoria]]</f>
        <v>Turvallinen ja toimintavarma</v>
      </c>
      <c r="F38" t="str">
        <f>Koontitaulukko10[[#This Row],[Alakategoria]]</f>
        <v>2. Ajantasainen varautumis- ja valmiussuunnittelu ja yhteistyö muiden toimijoiden kanssa</v>
      </c>
      <c r="G38" t="str">
        <f>Koontitaulukko10[[#This Row],[Arviointikriteeri]]</f>
        <v>2.23 Vesihuoltolaitos pitää tarvitsemiensa ajoneuvojen ja työkoneiden ATV-varaukset ajan tasalla. (Välttämättömien ajoneuvojen ja työkoneiden varaaminen poikkeusoloissa vesihuollon käyttöön)</v>
      </c>
      <c r="H38" t="str">
        <f>Koontitaulukko10[[#This Row],[Huoltovarmuus]]</f>
        <v>Kyllä</v>
      </c>
      <c r="I38" t="str">
        <f>Koontitaulukko10[[#This Row],[Vastaus ]]</f>
        <v/>
      </c>
      <c r="J38">
        <f>Koontitaulukko10[[#This Row],[Vastaajan kokoluokka]]</f>
        <v>0</v>
      </c>
      <c r="K38" t="str">
        <f>Koontitaulukko10[[#This Row],[Vastaajan toimiala]]</f>
        <v/>
      </c>
      <c r="L38" t="str">
        <f>Koontitaulukko10[[#This Row],[Kunta]]</f>
        <v/>
      </c>
      <c r="M38" t="str">
        <f>Koontitaulukko10[[#This Row],[Vesilaitoksen nimi]]</f>
        <v/>
      </c>
      <c r="N38" s="73" t="str">
        <f>Koontitaulukko10[[#This Row],[Vastauspvm]]</f>
        <v/>
      </c>
      <c r="O38" s="73"/>
      <c r="P38" s="40"/>
      <c r="Q38" s="40"/>
      <c r="R38" s="40"/>
      <c r="S38" s="40"/>
      <c r="T38" s="40"/>
      <c r="U38" s="40"/>
      <c r="V38" s="40"/>
      <c r="W38" s="40"/>
      <c r="X38" s="40"/>
      <c r="Y38" s="40"/>
    </row>
    <row r="39" spans="1:25" x14ac:dyDescent="0.25">
      <c r="A39" t="str">
        <f>Koontitaulukko10[[#This Row],[Kuuluuko kriteeri kyseisen laitoksen vastattavaksi]]</f>
        <v>Ei kuulu</v>
      </c>
      <c r="B39" t="str">
        <f>Koontitaulukko10[[#This Row],[Extra-kysymys]]</f>
        <v/>
      </c>
      <c r="C39">
        <f>Koontitaulukko10[[#This Row],[Kriteerin kokoluokka]]</f>
        <v>4</v>
      </c>
      <c r="D39" t="str">
        <f>Koontitaulukko10[[#This Row],[Kriteerin toimiala]]</f>
        <v>A,B,C,D</v>
      </c>
      <c r="E39" t="str">
        <f>Koontitaulukko10[[#This Row],[Pääkategoria]]</f>
        <v>Turvallinen ja toimintavarma</v>
      </c>
      <c r="F39" t="str">
        <f>Koontitaulukko10[[#This Row],[Alakategoria]]</f>
        <v>2. Ajantasainen varautumis- ja valmiussuunnittelu ja yhteistyö muiden toimijoiden kanssa</v>
      </c>
      <c r="G39" t="str">
        <f>Koontitaulukko10[[#This Row],[Arviointikriteeri]]</f>
        <v>2.24 Automaatio- ja ICT-järjestelmien (OT- ja IT- järjestelmät) tietoturvaa on arvioitu hyödyntäen Kybermittaria tai Kyber-Vesi -hankkeen automaation vaatimuspatteristoa.</v>
      </c>
      <c r="H39" t="str">
        <f>Koontitaulukko10[[#This Row],[Huoltovarmuus]]</f>
        <v>Kyllä</v>
      </c>
      <c r="I39" t="str">
        <f>Koontitaulukko10[[#This Row],[Vastaus ]]</f>
        <v/>
      </c>
      <c r="J39">
        <f>Koontitaulukko10[[#This Row],[Vastaajan kokoluokka]]</f>
        <v>0</v>
      </c>
      <c r="K39" t="str">
        <f>Koontitaulukko10[[#This Row],[Vastaajan toimiala]]</f>
        <v/>
      </c>
      <c r="L39" t="str">
        <f>Koontitaulukko10[[#This Row],[Kunta]]</f>
        <v/>
      </c>
      <c r="M39" t="str">
        <f>Koontitaulukko10[[#This Row],[Vesilaitoksen nimi]]</f>
        <v/>
      </c>
      <c r="N39" s="73" t="str">
        <f>Koontitaulukko10[[#This Row],[Vastauspvm]]</f>
        <v/>
      </c>
      <c r="O39" s="73"/>
      <c r="P39" s="40"/>
      <c r="Q39" s="40"/>
      <c r="R39" s="40"/>
      <c r="S39" s="40"/>
      <c r="T39" s="40"/>
      <c r="U39" s="40"/>
      <c r="V39" s="40"/>
      <c r="W39" s="40"/>
      <c r="X39" s="40"/>
      <c r="Y39" s="40"/>
    </row>
    <row r="40" spans="1:25" hidden="1" x14ac:dyDescent="0.25">
      <c r="A40" t="str">
        <f>Koontitaulukko10[[#This Row],[Kuuluuko kriteeri kyseisen laitoksen vastattavaksi]]</f>
        <v>Ei kuulu</v>
      </c>
      <c r="B40" t="str">
        <f>Koontitaulukko10[[#This Row],[Extra-kysymys]]</f>
        <v/>
      </c>
      <c r="C40" t="str">
        <f>Koontitaulukko10[[#This Row],[Kriteerin kokoluokka]]</f>
        <v xml:space="preserve">1,2,3,4 </v>
      </c>
      <c r="D40" t="str">
        <f>Koontitaulukko10[[#This Row],[Kriteerin toimiala]]</f>
        <v>A,B,C,D</v>
      </c>
      <c r="E40" t="str">
        <f>Koontitaulukko10[[#This Row],[Pääkategoria]]</f>
        <v>Turvallinen ja toimintavarma</v>
      </c>
      <c r="F40" t="str">
        <f>Koontitaulukko10[[#This Row],[Alakategoria]]</f>
        <v>_Otsikkorivi</v>
      </c>
      <c r="G40" t="str">
        <f>Koontitaulukko10[[#This Row],[Arviointikriteeri]]</f>
        <v>3. Kriittiset asiakkaat, väliaikainen vedenjakelu ja poikkeustilanteiden viestintä</v>
      </c>
      <c r="H40" t="str">
        <f>Koontitaulukko10[[#This Row],[Huoltovarmuus]]</f>
        <v>Ei</v>
      </c>
      <c r="I40" t="str">
        <f>Koontitaulukko10[[#This Row],[Vastaus ]]</f>
        <v/>
      </c>
      <c r="J40">
        <f>Koontitaulukko10[[#This Row],[Vastaajan kokoluokka]]</f>
        <v>0</v>
      </c>
      <c r="K40" t="str">
        <f>Koontitaulukko10[[#This Row],[Vastaajan toimiala]]</f>
        <v/>
      </c>
      <c r="L40" t="str">
        <f>Koontitaulukko10[[#This Row],[Kunta]]</f>
        <v/>
      </c>
      <c r="M40" t="str">
        <f>Koontitaulukko10[[#This Row],[Vesilaitoksen nimi]]</f>
        <v/>
      </c>
      <c r="N40" s="73" t="str">
        <f>Koontitaulukko10[[#This Row],[Vastauspvm]]</f>
        <v/>
      </c>
      <c r="O40" s="73"/>
      <c r="P40" s="40"/>
      <c r="Q40" s="40"/>
      <c r="R40" s="40"/>
      <c r="S40" s="40"/>
      <c r="T40" s="40"/>
      <c r="U40" s="40"/>
      <c r="V40" s="40"/>
      <c r="W40" s="40"/>
      <c r="X40" s="40"/>
      <c r="Y40" s="40"/>
    </row>
    <row r="41" spans="1:25" x14ac:dyDescent="0.25">
      <c r="A41" t="str">
        <f>Koontitaulukko10[[#This Row],[Kuuluuko kriteeri kyseisen laitoksen vastattavaksi]]</f>
        <v>Ei kuulu</v>
      </c>
      <c r="B41" t="str">
        <f>Koontitaulukko10[[#This Row],[Extra-kysymys]]</f>
        <v/>
      </c>
      <c r="C41" t="str">
        <f>Koontitaulukko10[[#This Row],[Kriteerin kokoluokka]]</f>
        <v>1,2,3,4</v>
      </c>
      <c r="D41" t="str">
        <f>Koontitaulukko10[[#This Row],[Kriteerin toimiala]]</f>
        <v>B</v>
      </c>
      <c r="E41" t="str">
        <f>Koontitaulukko10[[#This Row],[Pääkategoria]]</f>
        <v>Turvallinen ja toimintavarma</v>
      </c>
      <c r="F41" t="str">
        <f>Koontitaulukko10[[#This Row],[Alakategoria]]</f>
        <v>3. Kriittiset asiakkaat, väliaikainen vedenjakelu ja poikkeustilanteiden viestintä</v>
      </c>
      <c r="G41" t="str">
        <f>Koontitaulukko10[[#This Row],[Arviointikriteeri]]</f>
        <v xml:space="preserve">3.1 Vesihuoltolaitoksen kriittiset asiakkaat on tunnistettu (määritetty ja luokiteltu) ja dokumentoitu (esim. vesihuoltolaitoksen verkkotietojärjestelmään ja varautumisohjeisiin) </v>
      </c>
      <c r="H41" t="str">
        <f>Koontitaulukko10[[#This Row],[Huoltovarmuus]]</f>
        <v>Kyllä</v>
      </c>
      <c r="I41" t="str">
        <f>Koontitaulukko10[[#This Row],[Vastaus ]]</f>
        <v/>
      </c>
      <c r="J41">
        <f>Koontitaulukko10[[#This Row],[Vastaajan kokoluokka]]</f>
        <v>0</v>
      </c>
      <c r="K41" t="str">
        <f>Koontitaulukko10[[#This Row],[Vastaajan toimiala]]</f>
        <v/>
      </c>
      <c r="L41" t="str">
        <f>Koontitaulukko10[[#This Row],[Kunta]]</f>
        <v/>
      </c>
      <c r="M41" t="str">
        <f>Koontitaulukko10[[#This Row],[Vesilaitoksen nimi]]</f>
        <v/>
      </c>
      <c r="N41" s="73" t="str">
        <f>Koontitaulukko10[[#This Row],[Vastauspvm]]</f>
        <v/>
      </c>
      <c r="O41" s="73"/>
      <c r="P41" s="40"/>
      <c r="Q41" s="40"/>
      <c r="R41" s="40"/>
      <c r="S41" s="40"/>
      <c r="T41" s="40"/>
      <c r="U41" s="40"/>
      <c r="V41" s="40"/>
      <c r="W41" s="40"/>
      <c r="X41" s="40"/>
      <c r="Y41" s="40"/>
    </row>
    <row r="42" spans="1:25" x14ac:dyDescent="0.25">
      <c r="A42" t="str">
        <f>Koontitaulukko10[[#This Row],[Kuuluuko kriteeri kyseisen laitoksen vastattavaksi]]</f>
        <v>Ei kuulu</v>
      </c>
      <c r="B42" t="str">
        <f>Koontitaulukko10[[#This Row],[Extra-kysymys]]</f>
        <v/>
      </c>
      <c r="C42" t="str">
        <f>Koontitaulukko10[[#This Row],[Kriteerin kokoluokka]]</f>
        <v>1,2,3,4</v>
      </c>
      <c r="D42" t="str">
        <f>Koontitaulukko10[[#This Row],[Kriteerin toimiala]]</f>
        <v>B</v>
      </c>
      <c r="E42" t="str">
        <f>Koontitaulukko10[[#This Row],[Pääkategoria]]</f>
        <v>Turvallinen ja toimintavarma</v>
      </c>
      <c r="F42" t="str">
        <f>Koontitaulukko10[[#This Row],[Alakategoria]]</f>
        <v>3. Kriittiset asiakkaat, väliaikainen vedenjakelu ja poikkeustilanteiden viestintä</v>
      </c>
      <c r="G42" t="str">
        <f>Koontitaulukko10[[#This Row],[Arviointikriteeri]]</f>
        <v>3.2 Varavedenjakelukaluston saatavuus ja riittävä kapasiteetti on varmistettu tavanomaisissa (pienivaikutteisissa) vedenjakelun häiriötilanteissa omalla kalustolla ja/tai muuten.</v>
      </c>
      <c r="H42" t="str">
        <f>Koontitaulukko10[[#This Row],[Huoltovarmuus]]</f>
        <v>Kyllä</v>
      </c>
      <c r="I42" t="str">
        <f>Koontitaulukko10[[#This Row],[Vastaus ]]</f>
        <v/>
      </c>
      <c r="J42">
        <f>Koontitaulukko10[[#This Row],[Vastaajan kokoluokka]]</f>
        <v>0</v>
      </c>
      <c r="K42" t="str">
        <f>Koontitaulukko10[[#This Row],[Vastaajan toimiala]]</f>
        <v/>
      </c>
      <c r="L42" t="str">
        <f>Koontitaulukko10[[#This Row],[Kunta]]</f>
        <v/>
      </c>
      <c r="M42" t="str">
        <f>Koontitaulukko10[[#This Row],[Vesilaitoksen nimi]]</f>
        <v/>
      </c>
      <c r="N42" s="73" t="str">
        <f>Koontitaulukko10[[#This Row],[Vastauspvm]]</f>
        <v/>
      </c>
      <c r="O42" s="73"/>
      <c r="P42" s="40"/>
      <c r="Q42" s="40"/>
      <c r="R42" s="40"/>
      <c r="S42" s="40"/>
      <c r="T42" s="40"/>
      <c r="U42" s="40"/>
      <c r="V42" s="40"/>
      <c r="W42" s="40"/>
      <c r="X42" s="40"/>
      <c r="Y42" s="40"/>
    </row>
    <row r="43" spans="1:25" x14ac:dyDescent="0.25">
      <c r="A43" t="str">
        <f>Koontitaulukko10[[#This Row],[Kuuluuko kriteeri kyseisen laitoksen vastattavaksi]]</f>
        <v>Ei kuulu</v>
      </c>
      <c r="B43" t="str">
        <f>Koontitaulukko10[[#This Row],[Extra-kysymys]]</f>
        <v/>
      </c>
      <c r="C43" t="str">
        <f>Koontitaulukko10[[#This Row],[Kriteerin kokoluokka]]</f>
        <v>1,2,3,4</v>
      </c>
      <c r="D43" t="str">
        <f>Koontitaulukko10[[#This Row],[Kriteerin toimiala]]</f>
        <v>B</v>
      </c>
      <c r="E43" t="str">
        <f>Koontitaulukko10[[#This Row],[Pääkategoria]]</f>
        <v>Turvallinen ja toimintavarma</v>
      </c>
      <c r="F43" t="str">
        <f>Koontitaulukko10[[#This Row],[Alakategoria]]</f>
        <v>3. Kriittiset asiakkaat, väliaikainen vedenjakelu ja poikkeustilanteiden viestintä</v>
      </c>
      <c r="G43" t="str">
        <f>Koontitaulukko10[[#This Row],[Arviointikriteeri]]</f>
        <v xml:space="preserve">3.3 Vesihuoltolaitoksen varavedenjakelu (esim. jakelupisteet, kalusto, säiliöt, pullot yms.) on suunniteltu myös laajavaikutteisiin vedenjakelutarpeisiin. </v>
      </c>
      <c r="H43" t="str">
        <f>Koontitaulukko10[[#This Row],[Huoltovarmuus]]</f>
        <v>Kyllä</v>
      </c>
      <c r="I43" t="str">
        <f>Koontitaulukko10[[#This Row],[Vastaus ]]</f>
        <v/>
      </c>
      <c r="J43">
        <f>Koontitaulukko10[[#This Row],[Vastaajan kokoluokka]]</f>
        <v>0</v>
      </c>
      <c r="K43" t="str">
        <f>Koontitaulukko10[[#This Row],[Vastaajan toimiala]]</f>
        <v/>
      </c>
      <c r="L43" t="str">
        <f>Koontitaulukko10[[#This Row],[Kunta]]</f>
        <v/>
      </c>
      <c r="M43" t="str">
        <f>Koontitaulukko10[[#This Row],[Vesilaitoksen nimi]]</f>
        <v/>
      </c>
      <c r="N43" s="73" t="str">
        <f>Koontitaulukko10[[#This Row],[Vastauspvm]]</f>
        <v/>
      </c>
      <c r="O43" s="73"/>
      <c r="P43" s="40"/>
      <c r="Q43" s="40"/>
      <c r="R43" s="40"/>
      <c r="S43" s="40"/>
      <c r="T43" s="40"/>
      <c r="U43" s="40"/>
      <c r="V43" s="40"/>
      <c r="W43" s="40"/>
      <c r="X43" s="40"/>
      <c r="Y43" s="40"/>
    </row>
    <row r="44" spans="1:25" x14ac:dyDescent="0.25">
      <c r="A44" t="str">
        <f>Koontitaulukko10[[#This Row],[Kuuluuko kriteeri kyseisen laitoksen vastattavaksi]]</f>
        <v>Ei kuulu</v>
      </c>
      <c r="B44" t="str">
        <f>Koontitaulukko10[[#This Row],[Extra-kysymys]]</f>
        <v/>
      </c>
      <c r="C44" t="str">
        <f>Koontitaulukko10[[#This Row],[Kriteerin kokoluokka]]</f>
        <v>1,2,3,4</v>
      </c>
      <c r="D44" t="str">
        <f>Koontitaulukko10[[#This Row],[Kriteerin toimiala]]</f>
        <v>B</v>
      </c>
      <c r="E44" t="str">
        <f>Koontitaulukko10[[#This Row],[Pääkategoria]]</f>
        <v>Turvallinen ja toimintavarma</v>
      </c>
      <c r="F44" t="str">
        <f>Koontitaulukko10[[#This Row],[Alakategoria]]</f>
        <v>3. Kriittiset asiakkaat, väliaikainen vedenjakelu ja poikkeustilanteiden viestintä</v>
      </c>
      <c r="G44" t="str">
        <f>Koontitaulukko10[[#This Row],[Arviointikriteeri]]</f>
        <v xml:space="preserve">3.4 Varavedenjakelua on harjoiteltu.  (esim. todellisten tilanteiden myötä) </v>
      </c>
      <c r="H44" t="str">
        <f>Koontitaulukko10[[#This Row],[Huoltovarmuus]]</f>
        <v>Kyllä</v>
      </c>
      <c r="I44" t="str">
        <f>Koontitaulukko10[[#This Row],[Vastaus ]]</f>
        <v/>
      </c>
      <c r="J44">
        <f>Koontitaulukko10[[#This Row],[Vastaajan kokoluokka]]</f>
        <v>0</v>
      </c>
      <c r="K44" t="str">
        <f>Koontitaulukko10[[#This Row],[Vastaajan toimiala]]</f>
        <v/>
      </c>
      <c r="L44" t="str">
        <f>Koontitaulukko10[[#This Row],[Kunta]]</f>
        <v/>
      </c>
      <c r="M44" t="str">
        <f>Koontitaulukko10[[#This Row],[Vesilaitoksen nimi]]</f>
        <v/>
      </c>
      <c r="N44" s="73" t="str">
        <f>Koontitaulukko10[[#This Row],[Vastauspvm]]</f>
        <v/>
      </c>
      <c r="O44" s="73"/>
      <c r="P44" s="40"/>
      <c r="Q44" s="40"/>
      <c r="R44" s="40"/>
      <c r="S44" s="40"/>
      <c r="T44" s="40"/>
      <c r="U44" s="40"/>
      <c r="V44" s="40"/>
      <c r="W44" s="40"/>
      <c r="X44" s="40"/>
      <c r="Y44" s="40"/>
    </row>
    <row r="45" spans="1:25" x14ac:dyDescent="0.25">
      <c r="A45" t="str">
        <f>Koontitaulukko10[[#This Row],[Kuuluuko kriteeri kyseisen laitoksen vastattavaksi]]</f>
        <v>Ei kuulu</v>
      </c>
      <c r="B45" t="str">
        <f>Koontitaulukko10[[#This Row],[Extra-kysymys]]</f>
        <v/>
      </c>
      <c r="C45" t="str">
        <f>Koontitaulukko10[[#This Row],[Kriteerin kokoluokka]]</f>
        <v>1,2,3,4</v>
      </c>
      <c r="D45" t="str">
        <f>Koontitaulukko10[[#This Row],[Kriteerin toimiala]]</f>
        <v>B</v>
      </c>
      <c r="E45" t="str">
        <f>Koontitaulukko10[[#This Row],[Pääkategoria]]</f>
        <v>Turvallinen ja toimintavarma</v>
      </c>
      <c r="F45" t="str">
        <f>Koontitaulukko10[[#This Row],[Alakategoria]]</f>
        <v>3. Kriittiset asiakkaat, väliaikainen vedenjakelu ja poikkeustilanteiden viestintä</v>
      </c>
      <c r="G45" t="str">
        <f>Koontitaulukko10[[#This Row],[Arviointikriteeri]]</f>
        <v xml:space="preserve">3.5 Vesihuoltolaitos seuraa parametriä "putkirikossa ilman vettä olevien asukasaika minuuttia/asukas/v" ja on asettanut sille tavoitteen (putkirikkojen asukasaikojen summa vuodessa /vuosi / verkostoon liittyneiden asukkaiden määrä). Putkirikkojen asukasaika lasketaan kertomalla putkirikon aikana ilman vettä olevien asukkaiden määrä vedenkatkoksen pituudella. </v>
      </c>
      <c r="H45" t="str">
        <f>Koontitaulukko10[[#This Row],[Huoltovarmuus]]</f>
        <v>Kyllä</v>
      </c>
      <c r="I45" t="str">
        <f>Koontitaulukko10[[#This Row],[Vastaus ]]</f>
        <v/>
      </c>
      <c r="J45">
        <f>Koontitaulukko10[[#This Row],[Vastaajan kokoluokka]]</f>
        <v>0</v>
      </c>
      <c r="K45" t="str">
        <f>Koontitaulukko10[[#This Row],[Vastaajan toimiala]]</f>
        <v/>
      </c>
      <c r="L45" t="str">
        <f>Koontitaulukko10[[#This Row],[Kunta]]</f>
        <v/>
      </c>
      <c r="M45" t="str">
        <f>Koontitaulukko10[[#This Row],[Vesilaitoksen nimi]]</f>
        <v/>
      </c>
      <c r="N45" s="73" t="str">
        <f>Koontitaulukko10[[#This Row],[Vastauspvm]]</f>
        <v/>
      </c>
      <c r="O45" s="73"/>
      <c r="P45" s="40"/>
      <c r="Q45" s="40"/>
      <c r="R45" s="40"/>
      <c r="S45" s="40"/>
      <c r="T45" s="40"/>
      <c r="U45" s="40"/>
      <c r="V45" s="40"/>
      <c r="W45" s="40"/>
      <c r="X45" s="40"/>
      <c r="Y45" s="40"/>
    </row>
    <row r="46" spans="1:25" x14ac:dyDescent="0.25">
      <c r="A46" t="str">
        <f>Koontitaulukko10[[#This Row],[Kuuluuko kriteeri kyseisen laitoksen vastattavaksi]]</f>
        <v>Ei kuulu</v>
      </c>
      <c r="B46" t="str">
        <f>Koontitaulukko10[[#This Row],[Extra-kysymys]]</f>
        <v/>
      </c>
      <c r="C46" t="str">
        <f>Koontitaulukko10[[#This Row],[Kriteerin kokoluokka]]</f>
        <v>1,2,3,4</v>
      </c>
      <c r="D46" t="str">
        <f>Koontitaulukko10[[#This Row],[Kriteerin toimiala]]</f>
        <v>B</v>
      </c>
      <c r="E46" t="str">
        <f>Koontitaulukko10[[#This Row],[Pääkategoria]]</f>
        <v>Turvallinen ja toimintavarma</v>
      </c>
      <c r="F46" t="str">
        <f>Koontitaulukko10[[#This Row],[Alakategoria]]</f>
        <v>3. Kriittiset asiakkaat, väliaikainen vedenjakelu ja poikkeustilanteiden viestintä</v>
      </c>
      <c r="G46" t="str">
        <f>Koontitaulukko10[[#This Row],[Arviointikriteeri]]</f>
        <v>3.6 Vesihuoltolaitos seuraa parametria yli 12 h vedentoimituskatkokset (kpl/v, liittyjät/vuosi)</v>
      </c>
      <c r="H46" t="str">
        <f>Koontitaulukko10[[#This Row],[Huoltovarmuus]]</f>
        <v>Kyllä</v>
      </c>
      <c r="I46" t="str">
        <f>Koontitaulukko10[[#This Row],[Vastaus ]]</f>
        <v/>
      </c>
      <c r="J46">
        <f>Koontitaulukko10[[#This Row],[Vastaajan kokoluokka]]</f>
        <v>0</v>
      </c>
      <c r="K46" t="str">
        <f>Koontitaulukko10[[#This Row],[Vastaajan toimiala]]</f>
        <v/>
      </c>
      <c r="L46" t="str">
        <f>Koontitaulukko10[[#This Row],[Kunta]]</f>
        <v/>
      </c>
      <c r="M46" t="str">
        <f>Koontitaulukko10[[#This Row],[Vesilaitoksen nimi]]</f>
        <v/>
      </c>
      <c r="N46" s="73" t="str">
        <f>Koontitaulukko10[[#This Row],[Vastauspvm]]</f>
        <v/>
      </c>
      <c r="O46" s="73"/>
      <c r="P46" s="40"/>
      <c r="Q46" s="40"/>
      <c r="R46" s="40"/>
      <c r="S46" s="40"/>
      <c r="T46" s="40"/>
      <c r="U46" s="40"/>
      <c r="V46" s="40"/>
      <c r="W46" s="40"/>
      <c r="X46" s="40"/>
      <c r="Y46" s="40"/>
    </row>
    <row r="47" spans="1:25" x14ac:dyDescent="0.25">
      <c r="A47" t="str">
        <f>Koontitaulukko10[[#This Row],[Kuuluuko kriteeri kyseisen laitoksen vastattavaksi]]</f>
        <v>Ei kuulu</v>
      </c>
      <c r="B47" t="str">
        <f>Koontitaulukko10[[#This Row],[Extra-kysymys]]</f>
        <v/>
      </c>
      <c r="C47" t="str">
        <f>Koontitaulukko10[[#This Row],[Kriteerin kokoluokka]]</f>
        <v>1,2,3,4</v>
      </c>
      <c r="D47" t="str">
        <f>Koontitaulukko10[[#This Row],[Kriteerin toimiala]]</f>
        <v>B</v>
      </c>
      <c r="E47" t="str">
        <f>Koontitaulukko10[[#This Row],[Pääkategoria]]</f>
        <v>Turvallinen ja toimintavarma</v>
      </c>
      <c r="F47" t="str">
        <f>Koontitaulukko10[[#This Row],[Alakategoria]]</f>
        <v>3. Kriittiset asiakkaat, väliaikainen vedenjakelu ja poikkeustilanteiden viestintä</v>
      </c>
      <c r="G47" t="str">
        <f>Koontitaulukko10[[#This Row],[Arviointikriteeri]]</f>
        <v>3.7 Vesihuoltolaitoksella on valmius ilmoittaa keittokehotuksesta tai muista vedenkäyttöön liittyvistä häiriöistä vedenkäyttäjille tar-koituksenmukaisia viestintäkanavia käyttäen tarvittaessa myös kohdennetusti (esim. laputtamalla, tekstiviestillä).</v>
      </c>
      <c r="H47" t="str">
        <f>Koontitaulukko10[[#This Row],[Huoltovarmuus]]</f>
        <v>Kyllä</v>
      </c>
      <c r="I47" t="str">
        <f>Koontitaulukko10[[#This Row],[Vastaus ]]</f>
        <v/>
      </c>
      <c r="J47">
        <f>Koontitaulukko10[[#This Row],[Vastaajan kokoluokka]]</f>
        <v>0</v>
      </c>
      <c r="K47" t="str">
        <f>Koontitaulukko10[[#This Row],[Vastaajan toimiala]]</f>
        <v/>
      </c>
      <c r="L47" t="str">
        <f>Koontitaulukko10[[#This Row],[Kunta]]</f>
        <v/>
      </c>
      <c r="M47" t="str">
        <f>Koontitaulukko10[[#This Row],[Vesilaitoksen nimi]]</f>
        <v/>
      </c>
      <c r="N47" s="73" t="str">
        <f>Koontitaulukko10[[#This Row],[Vastauspvm]]</f>
        <v/>
      </c>
      <c r="O47" s="73"/>
      <c r="P47" s="40"/>
      <c r="Q47" s="40"/>
      <c r="R47" s="40"/>
      <c r="S47" s="40"/>
      <c r="T47" s="40"/>
      <c r="U47" s="40"/>
      <c r="V47" s="40"/>
      <c r="W47" s="40"/>
      <c r="X47" s="40"/>
      <c r="Y47" s="40"/>
    </row>
    <row r="48" spans="1:25" x14ac:dyDescent="0.25">
      <c r="A48" t="str">
        <f>Koontitaulukko10[[#This Row],[Kuuluuko kriteeri kyseisen laitoksen vastattavaksi]]</f>
        <v>Ei kuulu</v>
      </c>
      <c r="B48" t="str">
        <f>Koontitaulukko10[[#This Row],[Extra-kysymys]]</f>
        <v/>
      </c>
      <c r="C48" t="str">
        <f>Koontitaulukko10[[#This Row],[Kriteerin kokoluokka]]</f>
        <v>1,2,3,4</v>
      </c>
      <c r="D48" t="str">
        <f>Koontitaulukko10[[#This Row],[Kriteerin toimiala]]</f>
        <v>A,B,C,D</v>
      </c>
      <c r="E48" t="str">
        <f>Koontitaulukko10[[#This Row],[Pääkategoria]]</f>
        <v>Turvallinen ja toimintavarma</v>
      </c>
      <c r="F48" t="str">
        <f>Koontitaulukko10[[#This Row],[Alakategoria]]</f>
        <v>3. Kriittiset asiakkaat, väliaikainen vedenjakelu ja poikkeustilanteiden viestintä</v>
      </c>
      <c r="G48" t="str">
        <f>Koontitaulukko10[[#This Row],[Arviointikriteeri]]</f>
        <v>3.8 On suunniteltu ja käyttöönotettavissa vaihtoehtoiset tiedon- ja toiminnanhallinnan sekä sisäisen viestinnän menetelmät, mikäli internet ja/tai normaalit tietoliikenneyhteydet eivät toimi.</v>
      </c>
      <c r="H48" t="str">
        <f>Koontitaulukko10[[#This Row],[Huoltovarmuus]]</f>
        <v>Kyllä</v>
      </c>
      <c r="I48" t="str">
        <f>Koontitaulukko10[[#This Row],[Vastaus ]]</f>
        <v/>
      </c>
      <c r="J48">
        <f>Koontitaulukko10[[#This Row],[Vastaajan kokoluokka]]</f>
        <v>0</v>
      </c>
      <c r="K48" t="str">
        <f>Koontitaulukko10[[#This Row],[Vastaajan toimiala]]</f>
        <v/>
      </c>
      <c r="L48" t="str">
        <f>Koontitaulukko10[[#This Row],[Kunta]]</f>
        <v/>
      </c>
      <c r="M48" t="str">
        <f>Koontitaulukko10[[#This Row],[Vesilaitoksen nimi]]</f>
        <v/>
      </c>
      <c r="N48" s="73" t="str">
        <f>Koontitaulukko10[[#This Row],[Vastauspvm]]</f>
        <v/>
      </c>
      <c r="O48" s="73"/>
      <c r="P48" s="40"/>
      <c r="Q48" s="40"/>
      <c r="R48" s="40"/>
      <c r="S48" s="40"/>
      <c r="T48" s="40"/>
      <c r="U48" s="40"/>
      <c r="V48" s="40"/>
      <c r="W48" s="40"/>
      <c r="X48" s="40"/>
      <c r="Y48" s="40"/>
    </row>
    <row r="49" spans="1:25" x14ac:dyDescent="0.25">
      <c r="A49" t="str">
        <f>Koontitaulukko10[[#This Row],[Kuuluuko kriteeri kyseisen laitoksen vastattavaksi]]</f>
        <v>Ei kuulu</v>
      </c>
      <c r="B49" t="str">
        <f>Koontitaulukko10[[#This Row],[Extra-kysymys]]</f>
        <v/>
      </c>
      <c r="C49" t="str">
        <f>Koontitaulukko10[[#This Row],[Kriteerin kokoluokka]]</f>
        <v>1,2,3,4</v>
      </c>
      <c r="D49" t="str">
        <f>Koontitaulukko10[[#This Row],[Kriteerin toimiala]]</f>
        <v>B</v>
      </c>
      <c r="E49" t="str">
        <f>Koontitaulukko10[[#This Row],[Pääkategoria]]</f>
        <v>Turvallinen ja toimintavarma</v>
      </c>
      <c r="F49" t="str">
        <f>Koontitaulukko10[[#This Row],[Alakategoria]]</f>
        <v>3. Kriittiset asiakkaat, väliaikainen vedenjakelu ja poikkeustilanteiden viestintä</v>
      </c>
      <c r="G49" t="str">
        <f>Koontitaulukko10[[#This Row],[Arviointikriteeri]]</f>
        <v>3.9 Putkirikkojen määrä &lt; 4 kpl/100 km/vuosi</v>
      </c>
      <c r="H49" t="str">
        <f>Koontitaulukko10[[#This Row],[Huoltovarmuus]]</f>
        <v>Kyllä</v>
      </c>
      <c r="I49" t="str">
        <f>Koontitaulukko10[[#This Row],[Vastaus ]]</f>
        <v/>
      </c>
      <c r="J49">
        <f>Koontitaulukko10[[#This Row],[Vastaajan kokoluokka]]</f>
        <v>0</v>
      </c>
      <c r="K49" t="str">
        <f>Koontitaulukko10[[#This Row],[Vastaajan toimiala]]</f>
        <v/>
      </c>
      <c r="L49" t="str">
        <f>Koontitaulukko10[[#This Row],[Kunta]]</f>
        <v/>
      </c>
      <c r="M49" t="str">
        <f>Koontitaulukko10[[#This Row],[Vesilaitoksen nimi]]</f>
        <v/>
      </c>
      <c r="N49" s="73" t="str">
        <f>Koontitaulukko10[[#This Row],[Vastauspvm]]</f>
        <v/>
      </c>
      <c r="O49" s="73"/>
      <c r="P49" s="40"/>
      <c r="Q49" s="40"/>
      <c r="R49" s="40"/>
      <c r="S49" s="40"/>
      <c r="T49" s="40"/>
      <c r="U49" s="40"/>
      <c r="V49" s="40"/>
      <c r="W49" s="40"/>
      <c r="X49" s="40"/>
      <c r="Y49" s="40"/>
    </row>
    <row r="50" spans="1:25" x14ac:dyDescent="0.25">
      <c r="A50" t="str">
        <f>Koontitaulukko10[[#This Row],[Kuuluuko kriteeri kyseisen laitoksen vastattavaksi]]</f>
        <v>Ei kuulu</v>
      </c>
      <c r="B50" t="str">
        <f>Koontitaulukko10[[#This Row],[Extra-kysymys]]</f>
        <v/>
      </c>
      <c r="C50" t="str">
        <f>Koontitaulukko10[[#This Row],[Kriteerin kokoluokka]]</f>
        <v>1,2,3,4</v>
      </c>
      <c r="D50" t="str">
        <f>Koontitaulukko10[[#This Row],[Kriteerin toimiala]]</f>
        <v>B</v>
      </c>
      <c r="E50" t="str">
        <f>Koontitaulukko10[[#This Row],[Pääkategoria]]</f>
        <v>Turvallinen ja toimintavarma</v>
      </c>
      <c r="F50" t="str">
        <f>Koontitaulukko10[[#This Row],[Alakategoria]]</f>
        <v>3. Kriittiset asiakkaat, väliaikainen vedenjakelu ja poikkeustilanteiden viestintä</v>
      </c>
      <c r="G50" t="str">
        <f>Koontitaulukko10[[#This Row],[Arviointikriteeri]]</f>
        <v>3.10 Laskuttamattoman talousveden osuus &lt; 15 % (1-4)</v>
      </c>
      <c r="H50" t="str">
        <f>Koontitaulukko10[[#This Row],[Huoltovarmuus]]</f>
        <v>Kyllä</v>
      </c>
      <c r="I50" t="str">
        <f>Koontitaulukko10[[#This Row],[Vastaus ]]</f>
        <v/>
      </c>
      <c r="J50">
        <f>Koontitaulukko10[[#This Row],[Vastaajan kokoluokka]]</f>
        <v>0</v>
      </c>
      <c r="K50" t="str">
        <f>Koontitaulukko10[[#This Row],[Vastaajan toimiala]]</f>
        <v/>
      </c>
      <c r="L50" t="str">
        <f>Koontitaulukko10[[#This Row],[Kunta]]</f>
        <v/>
      </c>
      <c r="M50" t="str">
        <f>Koontitaulukko10[[#This Row],[Vesilaitoksen nimi]]</f>
        <v/>
      </c>
      <c r="N50" s="73" t="str">
        <f>Koontitaulukko10[[#This Row],[Vastauspvm]]</f>
        <v/>
      </c>
      <c r="O50" s="73"/>
      <c r="P50" s="40"/>
      <c r="Q50" s="40"/>
      <c r="R50" s="40"/>
      <c r="S50" s="40"/>
      <c r="T50" s="40"/>
      <c r="U50" s="40"/>
      <c r="V50" s="40"/>
      <c r="W50" s="40"/>
      <c r="X50" s="40"/>
      <c r="Y50" s="40"/>
    </row>
    <row r="51" spans="1:25" x14ac:dyDescent="0.25">
      <c r="A51" t="str">
        <f>Koontitaulukko10[[#This Row],[Kuuluuko kriteeri kyseisen laitoksen vastattavaksi]]</f>
        <v>Ei kuulu</v>
      </c>
      <c r="B51" t="str">
        <f>Koontitaulukko10[[#This Row],[Extra-kysymys]]</f>
        <v/>
      </c>
      <c r="C51" t="str">
        <f>Koontitaulukko10[[#This Row],[Kriteerin kokoluokka]]</f>
        <v>1,2,3,4</v>
      </c>
      <c r="D51" t="str">
        <f>Koontitaulukko10[[#This Row],[Kriteerin toimiala]]</f>
        <v>A,B,C,D</v>
      </c>
      <c r="E51" t="str">
        <f>Koontitaulukko10[[#This Row],[Pääkategoria]]</f>
        <v>Turvallinen ja toimintavarma</v>
      </c>
      <c r="F51" t="str">
        <f>Koontitaulukko10[[#This Row],[Alakategoria]]</f>
        <v>3. Kriittiset asiakkaat, väliaikainen vedenjakelu ja poikkeustilanteiden viestintä</v>
      </c>
      <c r="G51" t="str">
        <f>Koontitaulukko10[[#This Row],[Arviointikriteeri]]</f>
        <v>3.11 Erilaisten häiriötilanteiden viestintä on suunniteltu, ohjeistettu ja sitä harjoitellaan. Yhteystiedot pidetään ajan tasalla.</v>
      </c>
      <c r="H51" t="str">
        <f>Koontitaulukko10[[#This Row],[Huoltovarmuus]]</f>
        <v>Kyllä</v>
      </c>
      <c r="I51" t="str">
        <f>Koontitaulukko10[[#This Row],[Vastaus ]]</f>
        <v/>
      </c>
      <c r="J51">
        <f>Koontitaulukko10[[#This Row],[Vastaajan kokoluokka]]</f>
        <v>0</v>
      </c>
      <c r="K51" t="str">
        <f>Koontitaulukko10[[#This Row],[Vastaajan toimiala]]</f>
        <v/>
      </c>
      <c r="L51" t="str">
        <f>Koontitaulukko10[[#This Row],[Kunta]]</f>
        <v/>
      </c>
      <c r="M51" t="str">
        <f>Koontitaulukko10[[#This Row],[Vesilaitoksen nimi]]</f>
        <v/>
      </c>
      <c r="N51" s="73" t="str">
        <f>Koontitaulukko10[[#This Row],[Vastauspvm]]</f>
        <v/>
      </c>
      <c r="O51" s="73"/>
      <c r="P51" s="40"/>
      <c r="Q51" s="40"/>
      <c r="R51" s="40"/>
      <c r="S51" s="40"/>
      <c r="T51" s="40"/>
      <c r="U51" s="40"/>
      <c r="V51" s="40"/>
      <c r="W51" s="40"/>
      <c r="X51" s="40"/>
      <c r="Y51" s="40"/>
    </row>
    <row r="52" spans="1:25" x14ac:dyDescent="0.25">
      <c r="A52" t="str">
        <f>Koontitaulukko10[[#This Row],[Kuuluuko kriteeri kyseisen laitoksen vastattavaksi]]</f>
        <v>Ei kuulu</v>
      </c>
      <c r="B52" t="str">
        <f>Koontitaulukko10[[#This Row],[Extra-kysymys]]</f>
        <v/>
      </c>
      <c r="C52" t="str">
        <f>Koontitaulukko10[[#This Row],[Kriteerin kokoluokka]]</f>
        <v>3, 4</v>
      </c>
      <c r="D52" t="str">
        <f>Koontitaulukko10[[#This Row],[Kriteerin toimiala]]</f>
        <v>B</v>
      </c>
      <c r="E52" t="str">
        <f>Koontitaulukko10[[#This Row],[Pääkategoria]]</f>
        <v>Turvallinen ja toimintavarma</v>
      </c>
      <c r="F52" t="str">
        <f>Koontitaulukko10[[#This Row],[Alakategoria]]</f>
        <v>3. Kriittiset asiakkaat, väliaikainen vedenjakelu ja poikkeustilanteiden viestintä</v>
      </c>
      <c r="G52" t="str">
        <f>Koontitaulukko10[[#This Row],[Arviointikriteeri]]</f>
        <v>3.12 Kriittisten asiakkaiden kanssa on käyty neuvottelu vedensaannin turvaamisesta ja tarpeellisten toimenpiteiden määrittely on tehty esim. erillisellä sopimuksella tai kriittisiä asiakkaita ei ole.</v>
      </c>
      <c r="H52" t="str">
        <f>Koontitaulukko10[[#This Row],[Huoltovarmuus]]</f>
        <v>Kyllä</v>
      </c>
      <c r="I52" t="str">
        <f>Koontitaulukko10[[#This Row],[Vastaus ]]</f>
        <v/>
      </c>
      <c r="J52">
        <f>Koontitaulukko10[[#This Row],[Vastaajan kokoluokka]]</f>
        <v>0</v>
      </c>
      <c r="K52" t="str">
        <f>Koontitaulukko10[[#This Row],[Vastaajan toimiala]]</f>
        <v/>
      </c>
      <c r="L52" t="str">
        <f>Koontitaulukko10[[#This Row],[Kunta]]</f>
        <v/>
      </c>
      <c r="M52" t="str">
        <f>Koontitaulukko10[[#This Row],[Vesilaitoksen nimi]]</f>
        <v/>
      </c>
      <c r="N52" s="73" t="str">
        <f>Koontitaulukko10[[#This Row],[Vastauspvm]]</f>
        <v/>
      </c>
      <c r="O52" s="73"/>
      <c r="P52" s="40"/>
      <c r="Q52" s="40"/>
      <c r="R52" s="40"/>
      <c r="S52" s="40"/>
      <c r="T52" s="40"/>
      <c r="U52" s="40"/>
      <c r="V52" s="40"/>
      <c r="W52" s="40"/>
      <c r="X52" s="40"/>
      <c r="Y52" s="40"/>
    </row>
    <row r="53" spans="1:25" x14ac:dyDescent="0.25">
      <c r="A53" t="str">
        <f>Koontitaulukko10[[#This Row],[Kuuluuko kriteeri kyseisen laitoksen vastattavaksi]]</f>
        <v>Ei kuulu</v>
      </c>
      <c r="B53" t="str">
        <f>Koontitaulukko10[[#This Row],[Extra-kysymys]]</f>
        <v/>
      </c>
      <c r="C53" t="str">
        <f>Koontitaulukko10[[#This Row],[Kriteerin kokoluokka]]</f>
        <v xml:space="preserve">1,2,3,4 </v>
      </c>
      <c r="D53" t="str">
        <f>Koontitaulukko10[[#This Row],[Kriteerin toimiala]]</f>
        <v>A,B,C,D</v>
      </c>
      <c r="E53" t="str">
        <f>Koontitaulukko10[[#This Row],[Pääkategoria]]</f>
        <v>Turvallinen ja toimintavarma</v>
      </c>
      <c r="F53" t="str">
        <f>Koontitaulukko10[[#This Row],[Alakategoria]]</f>
        <v>_Otsikkorivi</v>
      </c>
      <c r="G53" t="str">
        <f>Koontitaulukko10[[#This Row],[Arviointikriteeri]]</f>
        <v>4. Kemikaalit, varaosat ja kriittiset palvelut</v>
      </c>
      <c r="H53" t="str">
        <f>Koontitaulukko10[[#This Row],[Huoltovarmuus]]</f>
        <v>Ei</v>
      </c>
      <c r="I53" t="str">
        <f>Koontitaulukko10[[#This Row],[Vastaus ]]</f>
        <v/>
      </c>
      <c r="J53">
        <f>Koontitaulukko10[[#This Row],[Vastaajan kokoluokka]]</f>
        <v>0</v>
      </c>
      <c r="K53" t="str">
        <f>Koontitaulukko10[[#This Row],[Vastaajan toimiala]]</f>
        <v/>
      </c>
      <c r="L53" t="str">
        <f>Koontitaulukko10[[#This Row],[Kunta]]</f>
        <v/>
      </c>
      <c r="M53" t="str">
        <f>Koontitaulukko10[[#This Row],[Vesilaitoksen nimi]]</f>
        <v/>
      </c>
      <c r="N53" s="73" t="str">
        <f>Koontitaulukko10[[#This Row],[Vastauspvm]]</f>
        <v/>
      </c>
      <c r="O53" s="73"/>
      <c r="P53" s="40"/>
      <c r="Q53" s="40"/>
      <c r="R53" s="40"/>
      <c r="S53" s="40"/>
      <c r="T53" s="40"/>
      <c r="U53" s="40"/>
      <c r="V53" s="40"/>
      <c r="W53" s="40"/>
      <c r="X53" s="40"/>
      <c r="Y53" s="40"/>
    </row>
    <row r="54" spans="1:25" hidden="1" x14ac:dyDescent="0.25">
      <c r="A54" t="str">
        <f>Koontitaulukko10[[#This Row],[Kuuluuko kriteeri kyseisen laitoksen vastattavaksi]]</f>
        <v>Ei kuulu</v>
      </c>
      <c r="B54" t="str">
        <f>Koontitaulukko10[[#This Row],[Extra-kysymys]]</f>
        <v/>
      </c>
      <c r="C54" t="str">
        <f>Koontitaulukko10[[#This Row],[Kriteerin kokoluokka]]</f>
        <v>1,2,3,4</v>
      </c>
      <c r="D54" t="str">
        <f>Koontitaulukko10[[#This Row],[Kriteerin toimiala]]</f>
        <v>A,B,C,D</v>
      </c>
      <c r="E54" t="str">
        <f>Koontitaulukko10[[#This Row],[Pääkategoria]]</f>
        <v>Turvallinen ja toimintavarma</v>
      </c>
      <c r="F54" t="str">
        <f>Koontitaulukko10[[#This Row],[Alakategoria]]</f>
        <v>4. Kemikaalit, varaosat ja kriittiset palvelut</v>
      </c>
      <c r="G54" t="str">
        <f>Koontitaulukko10[[#This Row],[Arviointikriteeri]]</f>
        <v xml:space="preserve">4.1 Vesihuoltolaitoksen kriittiset materiaalit (kemikaalit, varaosat, yms) on tunnistettu. </v>
      </c>
      <c r="H54" t="str">
        <f>Koontitaulukko10[[#This Row],[Huoltovarmuus]]</f>
        <v>Kyllä</v>
      </c>
      <c r="I54" t="str">
        <f>Koontitaulukko10[[#This Row],[Vastaus ]]</f>
        <v/>
      </c>
      <c r="J54">
        <f>Koontitaulukko10[[#This Row],[Vastaajan kokoluokka]]</f>
        <v>0</v>
      </c>
      <c r="K54" t="str">
        <f>Koontitaulukko10[[#This Row],[Vastaajan toimiala]]</f>
        <v/>
      </c>
      <c r="L54" t="str">
        <f>Koontitaulukko10[[#This Row],[Kunta]]</f>
        <v/>
      </c>
      <c r="M54" t="str">
        <f>Koontitaulukko10[[#This Row],[Vesilaitoksen nimi]]</f>
        <v/>
      </c>
      <c r="N54" s="73" t="str">
        <f>Koontitaulukko10[[#This Row],[Vastauspvm]]</f>
        <v/>
      </c>
      <c r="O54" s="73"/>
      <c r="P54" s="40"/>
      <c r="Q54" s="40"/>
      <c r="R54" s="40"/>
      <c r="S54" s="40"/>
      <c r="T54" s="40"/>
      <c r="U54" s="40"/>
      <c r="V54" s="40"/>
      <c r="W54" s="40"/>
      <c r="X54" s="40"/>
      <c r="Y54" s="40"/>
    </row>
    <row r="55" spans="1:25" x14ac:dyDescent="0.25">
      <c r="A55" t="str">
        <f>Koontitaulukko10[[#This Row],[Kuuluuko kriteeri kyseisen laitoksen vastattavaksi]]</f>
        <v>Ei kuulu</v>
      </c>
      <c r="B55" t="str">
        <f>Koontitaulukko10[[#This Row],[Extra-kysymys]]</f>
        <v/>
      </c>
      <c r="C55" t="str">
        <f>Koontitaulukko10[[#This Row],[Kriteerin kokoluokka]]</f>
        <v>1,2,3,4</v>
      </c>
      <c r="D55" t="str">
        <f>Koontitaulukko10[[#This Row],[Kriteerin toimiala]]</f>
        <v>A,B,C,D</v>
      </c>
      <c r="E55" t="str">
        <f>Koontitaulukko10[[#This Row],[Pääkategoria]]</f>
        <v>Turvallinen ja toimintavarma</v>
      </c>
      <c r="F55" t="str">
        <f>Koontitaulukko10[[#This Row],[Alakategoria]]</f>
        <v>4. Kemikaalit, varaosat ja kriittiset palvelut</v>
      </c>
      <c r="G55" t="str">
        <f>Koontitaulukko10[[#This Row],[Arviointikriteeri]]</f>
        <v>4.2 Kriittisten materiaalien riittävä varastokapasiteetti ja saatavuus on määritetty ja järjestetty.</v>
      </c>
      <c r="H55" t="str">
        <f>Koontitaulukko10[[#This Row],[Huoltovarmuus]]</f>
        <v>Kyllä</v>
      </c>
      <c r="I55" t="str">
        <f>Koontitaulukko10[[#This Row],[Vastaus ]]</f>
        <v/>
      </c>
      <c r="J55">
        <f>Koontitaulukko10[[#This Row],[Vastaajan kokoluokka]]</f>
        <v>0</v>
      </c>
      <c r="K55" t="str">
        <f>Koontitaulukko10[[#This Row],[Vastaajan toimiala]]</f>
        <v/>
      </c>
      <c r="L55" t="str">
        <f>Koontitaulukko10[[#This Row],[Kunta]]</f>
        <v/>
      </c>
      <c r="M55" t="str">
        <f>Koontitaulukko10[[#This Row],[Vesilaitoksen nimi]]</f>
        <v/>
      </c>
      <c r="N55" s="73" t="str">
        <f>Koontitaulukko10[[#This Row],[Vastauspvm]]</f>
        <v/>
      </c>
      <c r="O55" s="73"/>
    </row>
    <row r="56" spans="1:25" x14ac:dyDescent="0.25">
      <c r="A56" t="str">
        <f>Koontitaulukko10[[#This Row],[Kuuluuko kriteeri kyseisen laitoksen vastattavaksi]]</f>
        <v>Ei kuulu</v>
      </c>
      <c r="B56" t="str">
        <f>Koontitaulukko10[[#This Row],[Extra-kysymys]]</f>
        <v/>
      </c>
      <c r="C56" t="str">
        <f>Koontitaulukko10[[#This Row],[Kriteerin kokoluokka]]</f>
        <v>2,3,4</v>
      </c>
      <c r="D56" t="str">
        <f>Koontitaulukko10[[#This Row],[Kriteerin toimiala]]</f>
        <v>A,B,C,D</v>
      </c>
      <c r="E56" t="str">
        <f>Koontitaulukko10[[#This Row],[Pääkategoria]]</f>
        <v>Turvallinen ja toimintavarma</v>
      </c>
      <c r="F56" t="str">
        <f>Koontitaulukko10[[#This Row],[Alakategoria]]</f>
        <v>4. Kemikaalit, varaosat ja kriittiset palvelut</v>
      </c>
      <c r="G56" t="str">
        <f>Koontitaulukko10[[#This Row],[Arviointikriteeri]]</f>
        <v xml:space="preserve">4.3 Toimittajien kanssa on neuvoteltu jatkuvuudenhallinnasta. </v>
      </c>
      <c r="H56" t="str">
        <f>Koontitaulukko10[[#This Row],[Huoltovarmuus]]</f>
        <v>Kyllä</v>
      </c>
      <c r="I56" t="str">
        <f>Koontitaulukko10[[#This Row],[Vastaus ]]</f>
        <v/>
      </c>
      <c r="J56">
        <f>Koontitaulukko10[[#This Row],[Vastaajan kokoluokka]]</f>
        <v>0</v>
      </c>
      <c r="K56" t="str">
        <f>Koontitaulukko10[[#This Row],[Vastaajan toimiala]]</f>
        <v/>
      </c>
      <c r="L56" t="str">
        <f>Koontitaulukko10[[#This Row],[Kunta]]</f>
        <v/>
      </c>
      <c r="M56" t="str">
        <f>Koontitaulukko10[[#This Row],[Vesilaitoksen nimi]]</f>
        <v/>
      </c>
      <c r="N56" s="73" t="str">
        <f>Koontitaulukko10[[#This Row],[Vastauspvm]]</f>
        <v/>
      </c>
      <c r="O56" s="73"/>
    </row>
    <row r="57" spans="1:25" x14ac:dyDescent="0.25">
      <c r="A57" t="str">
        <f>Koontitaulukko10[[#This Row],[Kuuluuko kriteeri kyseisen laitoksen vastattavaksi]]</f>
        <v>Ei kuulu</v>
      </c>
      <c r="B57" t="str">
        <f>Koontitaulukko10[[#This Row],[Extra-kysymys]]</f>
        <v/>
      </c>
      <c r="C57">
        <f>Koontitaulukko10[[#This Row],[Kriteerin kokoluokka]]</f>
        <v>3.4</v>
      </c>
      <c r="D57" t="str">
        <f>Koontitaulukko10[[#This Row],[Kriteerin toimiala]]</f>
        <v>A,B,C,D</v>
      </c>
      <c r="E57" t="str">
        <f>Koontitaulukko10[[#This Row],[Pääkategoria]]</f>
        <v>Turvallinen ja toimintavarma</v>
      </c>
      <c r="F57" t="str">
        <f>Koontitaulukko10[[#This Row],[Alakategoria]]</f>
        <v>4. Kemikaalit, varaosat ja kriittiset palvelut</v>
      </c>
      <c r="G57" t="str">
        <f>Koontitaulukko10[[#This Row],[Arviointikriteeri]]</f>
        <v xml:space="preserve">4.4 Kriittisten materiaalien saanti on otettu huomioon sopimuksissa (esim. SOPIVA-sopimuslausekkeet). </v>
      </c>
      <c r="H57" t="str">
        <f>Koontitaulukko10[[#This Row],[Huoltovarmuus]]</f>
        <v>Kyllä</v>
      </c>
      <c r="I57" t="str">
        <f>Koontitaulukko10[[#This Row],[Vastaus ]]</f>
        <v/>
      </c>
      <c r="J57">
        <f>Koontitaulukko10[[#This Row],[Vastaajan kokoluokka]]</f>
        <v>0</v>
      </c>
      <c r="K57" t="str">
        <f>Koontitaulukko10[[#This Row],[Vastaajan toimiala]]</f>
        <v/>
      </c>
      <c r="L57" t="str">
        <f>Koontitaulukko10[[#This Row],[Kunta]]</f>
        <v/>
      </c>
      <c r="M57" t="str">
        <f>Koontitaulukko10[[#This Row],[Vesilaitoksen nimi]]</f>
        <v/>
      </c>
      <c r="N57" s="73" t="str">
        <f>Koontitaulukko10[[#This Row],[Vastauspvm]]</f>
        <v/>
      </c>
      <c r="O57" s="73"/>
    </row>
    <row r="58" spans="1:25" x14ac:dyDescent="0.25">
      <c r="A58" t="str">
        <f>Koontitaulukko10[[#This Row],[Kuuluuko kriteeri kyseisen laitoksen vastattavaksi]]</f>
        <v>Ei kuulu</v>
      </c>
      <c r="B58" t="str">
        <f>Koontitaulukko10[[#This Row],[Extra-kysymys]]</f>
        <v/>
      </c>
      <c r="C58" t="str">
        <f>Koontitaulukko10[[#This Row],[Kriteerin kokoluokka]]</f>
        <v>1,2,3,4</v>
      </c>
      <c r="D58" t="str">
        <f>Koontitaulukko10[[#This Row],[Kriteerin toimiala]]</f>
        <v>A,B,C,D</v>
      </c>
      <c r="E58" t="str">
        <f>Koontitaulukko10[[#This Row],[Pääkategoria]]</f>
        <v>Turvallinen ja toimintavarma</v>
      </c>
      <c r="F58" t="str">
        <f>Koontitaulukko10[[#This Row],[Alakategoria]]</f>
        <v>4. Kemikaalit, varaosat ja kriittiset palvelut</v>
      </c>
      <c r="G58" t="str">
        <f>Koontitaulukko10[[#This Row],[Arviointikriteeri]]</f>
        <v>4.5 Vesihuoltopalvelun jatkuvuuden kannalta kriittinen polttoaineen käyttö (esim. ajoneuvot, työkoneet, varavoima) on tunnistettu ja määrä arvioitu. Oikeasuhtaiset toimet polttoainehuollon varmistamiseksi (esim. varastointi, sopimukset) kaikissa tilanteissa on määritelty ja käytössä</v>
      </c>
      <c r="H58" t="str">
        <f>Koontitaulukko10[[#This Row],[Huoltovarmuus]]</f>
        <v>Kyllä</v>
      </c>
      <c r="I58" t="str">
        <f>Koontitaulukko10[[#This Row],[Vastaus ]]</f>
        <v/>
      </c>
      <c r="J58">
        <f>Koontitaulukko10[[#This Row],[Vastaajan kokoluokka]]</f>
        <v>0</v>
      </c>
      <c r="K58" t="str">
        <f>Koontitaulukko10[[#This Row],[Vastaajan toimiala]]</f>
        <v/>
      </c>
      <c r="L58" t="str">
        <f>Koontitaulukko10[[#This Row],[Kunta]]</f>
        <v/>
      </c>
      <c r="M58" t="str">
        <f>Koontitaulukko10[[#This Row],[Vesilaitoksen nimi]]</f>
        <v/>
      </c>
      <c r="N58" s="73" t="str">
        <f>Koontitaulukko10[[#This Row],[Vastauspvm]]</f>
        <v/>
      </c>
      <c r="O58" s="73"/>
    </row>
    <row r="59" spans="1:25" x14ac:dyDescent="0.25">
      <c r="A59" t="str">
        <f>Koontitaulukko10[[#This Row],[Kuuluuko kriteeri kyseisen laitoksen vastattavaksi]]</f>
        <v>Ei kuulu</v>
      </c>
      <c r="B59" t="str">
        <f>Koontitaulukko10[[#This Row],[Extra-kysymys]]</f>
        <v/>
      </c>
      <c r="C59" t="str">
        <f>Koontitaulukko10[[#This Row],[Kriteerin kokoluokka]]</f>
        <v>1,2,3,4</v>
      </c>
      <c r="D59" t="str">
        <f>Koontitaulukko10[[#This Row],[Kriteerin toimiala]]</f>
        <v>A,B,C,D</v>
      </c>
      <c r="E59" t="str">
        <f>Koontitaulukko10[[#This Row],[Pääkategoria]]</f>
        <v>Turvallinen ja toimintavarma</v>
      </c>
      <c r="F59" t="str">
        <f>Koontitaulukko10[[#This Row],[Alakategoria]]</f>
        <v>4. Kemikaalit, varaosat ja kriittiset palvelut</v>
      </c>
      <c r="G59" t="str">
        <f>Koontitaulukko10[[#This Row],[Arviointikriteeri]]</f>
        <v>4.6 Vesihuoltolaitoksen kriittiset palvelut (perustoiminnan ylläpitämisen edellyttämät jatkuvat palvelut, esim. logistiikka) on tunnistettu.</v>
      </c>
      <c r="H59" t="str">
        <f>Koontitaulukko10[[#This Row],[Huoltovarmuus]]</f>
        <v>Kyllä</v>
      </c>
      <c r="I59" t="str">
        <f>Koontitaulukko10[[#This Row],[Vastaus ]]</f>
        <v/>
      </c>
      <c r="J59">
        <f>Koontitaulukko10[[#This Row],[Vastaajan kokoluokka]]</f>
        <v>0</v>
      </c>
      <c r="K59" t="str">
        <f>Koontitaulukko10[[#This Row],[Vastaajan toimiala]]</f>
        <v/>
      </c>
      <c r="L59" t="str">
        <f>Koontitaulukko10[[#This Row],[Kunta]]</f>
        <v/>
      </c>
      <c r="M59" t="str">
        <f>Koontitaulukko10[[#This Row],[Vesilaitoksen nimi]]</f>
        <v/>
      </c>
      <c r="N59" s="73" t="str">
        <f>Koontitaulukko10[[#This Row],[Vastauspvm]]</f>
        <v/>
      </c>
      <c r="O59" s="73"/>
    </row>
    <row r="60" spans="1:25" x14ac:dyDescent="0.25">
      <c r="A60" t="str">
        <f>Koontitaulukko10[[#This Row],[Kuuluuko kriteeri kyseisen laitoksen vastattavaksi]]</f>
        <v>Ei kuulu</v>
      </c>
      <c r="B60" t="str">
        <f>Koontitaulukko10[[#This Row],[Extra-kysymys]]</f>
        <v/>
      </c>
      <c r="C60" t="str">
        <f>Koontitaulukko10[[#This Row],[Kriteerin kokoluokka]]</f>
        <v>1,2,3,4</v>
      </c>
      <c r="D60" t="str">
        <f>Koontitaulukko10[[#This Row],[Kriteerin toimiala]]</f>
        <v>A,B,C,D</v>
      </c>
      <c r="E60" t="str">
        <f>Koontitaulukko10[[#This Row],[Pääkategoria]]</f>
        <v>Turvallinen ja toimintavarma</v>
      </c>
      <c r="F60" t="str">
        <f>Koontitaulukko10[[#This Row],[Alakategoria]]</f>
        <v>4. Kemikaalit, varaosat ja kriittiset palvelut</v>
      </c>
      <c r="G60" t="str">
        <f>Koontitaulukko10[[#This Row],[Arviointikriteeri]]</f>
        <v>4.7 Vesihuoltolaitoksen kriittisten palveluiden riittävä saatavuus on määritetty ja varmistettu.</v>
      </c>
      <c r="H60" t="str">
        <f>Koontitaulukko10[[#This Row],[Huoltovarmuus]]</f>
        <v>Kyllä</v>
      </c>
      <c r="I60" t="str">
        <f>Koontitaulukko10[[#This Row],[Vastaus ]]</f>
        <v/>
      </c>
      <c r="J60">
        <f>Koontitaulukko10[[#This Row],[Vastaajan kokoluokka]]</f>
        <v>0</v>
      </c>
      <c r="K60" t="str">
        <f>Koontitaulukko10[[#This Row],[Vastaajan toimiala]]</f>
        <v/>
      </c>
      <c r="L60" t="str">
        <f>Koontitaulukko10[[#This Row],[Kunta]]</f>
        <v/>
      </c>
      <c r="M60" t="str">
        <f>Koontitaulukko10[[#This Row],[Vesilaitoksen nimi]]</f>
        <v/>
      </c>
      <c r="N60" s="73" t="str">
        <f>Koontitaulukko10[[#This Row],[Vastauspvm]]</f>
        <v/>
      </c>
      <c r="O60" s="73"/>
    </row>
    <row r="61" spans="1:25" x14ac:dyDescent="0.25">
      <c r="A61" t="str">
        <f>Koontitaulukko10[[#This Row],[Kuuluuko kriteeri kyseisen laitoksen vastattavaksi]]</f>
        <v>Ei kuulu</v>
      </c>
      <c r="B61" t="str">
        <f>Koontitaulukko10[[#This Row],[Extra-kysymys]]</f>
        <v/>
      </c>
      <c r="C61" t="str">
        <f>Koontitaulukko10[[#This Row],[Kriteerin kokoluokka]]</f>
        <v>2,3,4</v>
      </c>
      <c r="D61" t="str">
        <f>Koontitaulukko10[[#This Row],[Kriteerin toimiala]]</f>
        <v>A,B,C,D</v>
      </c>
      <c r="E61" t="str">
        <f>Koontitaulukko10[[#This Row],[Pääkategoria]]</f>
        <v>Turvallinen ja toimintavarma</v>
      </c>
      <c r="F61" t="str">
        <f>Koontitaulukko10[[#This Row],[Alakategoria]]</f>
        <v>4. Kemikaalit, varaosat ja kriittiset palvelut</v>
      </c>
      <c r="G61" t="str">
        <f>Koontitaulukko10[[#This Row],[Arviointikriteeri]]</f>
        <v>4.8 Palvelutarjoajien kanssa on neuvoteltu jatkuvuudenhallinnasta. (esim. VAP-varaukset)</v>
      </c>
      <c r="H61" t="str">
        <f>Koontitaulukko10[[#This Row],[Huoltovarmuus]]</f>
        <v>Kyllä</v>
      </c>
      <c r="I61" t="str">
        <f>Koontitaulukko10[[#This Row],[Vastaus ]]</f>
        <v/>
      </c>
      <c r="J61">
        <f>Koontitaulukko10[[#This Row],[Vastaajan kokoluokka]]</f>
        <v>0</v>
      </c>
      <c r="K61" t="str">
        <f>Koontitaulukko10[[#This Row],[Vastaajan toimiala]]</f>
        <v/>
      </c>
      <c r="L61" t="str">
        <f>Koontitaulukko10[[#This Row],[Kunta]]</f>
        <v/>
      </c>
      <c r="M61" t="str">
        <f>Koontitaulukko10[[#This Row],[Vesilaitoksen nimi]]</f>
        <v/>
      </c>
      <c r="N61" s="73" t="str">
        <f>Koontitaulukko10[[#This Row],[Vastauspvm]]</f>
        <v/>
      </c>
      <c r="O61" s="73"/>
    </row>
    <row r="62" spans="1:25" x14ac:dyDescent="0.25">
      <c r="A62" t="str">
        <f>Koontitaulukko10[[#This Row],[Kuuluuko kriteeri kyseisen laitoksen vastattavaksi]]</f>
        <v>Ei kuulu</v>
      </c>
      <c r="B62" t="str">
        <f>Koontitaulukko10[[#This Row],[Extra-kysymys]]</f>
        <v/>
      </c>
      <c r="C62">
        <f>Koontitaulukko10[[#This Row],[Kriteerin kokoluokka]]</f>
        <v>3.4</v>
      </c>
      <c r="D62" t="str">
        <f>Koontitaulukko10[[#This Row],[Kriteerin toimiala]]</f>
        <v>A,B,C,D</v>
      </c>
      <c r="E62" t="str">
        <f>Koontitaulukko10[[#This Row],[Pääkategoria]]</f>
        <v>Turvallinen ja toimintavarma</v>
      </c>
      <c r="F62" t="str">
        <f>Koontitaulukko10[[#This Row],[Alakategoria]]</f>
        <v>4. Kemikaalit, varaosat ja kriittiset palvelut</v>
      </c>
      <c r="G62" t="str">
        <f>Koontitaulukko10[[#This Row],[Arviointikriteeri]]</f>
        <v>4.9 Kriittisten palvelujen saanti on otettu huomioon sopimuksissa (esim. SOPIVA-sopimuslausekkeet).</v>
      </c>
      <c r="H62" t="str">
        <f>Koontitaulukko10[[#This Row],[Huoltovarmuus]]</f>
        <v>Kyllä</v>
      </c>
      <c r="I62" t="str">
        <f>Koontitaulukko10[[#This Row],[Vastaus ]]</f>
        <v/>
      </c>
      <c r="J62">
        <f>Koontitaulukko10[[#This Row],[Vastaajan kokoluokka]]</f>
        <v>0</v>
      </c>
      <c r="K62" t="str">
        <f>Koontitaulukko10[[#This Row],[Vastaajan toimiala]]</f>
        <v/>
      </c>
      <c r="L62" t="str">
        <f>Koontitaulukko10[[#This Row],[Kunta]]</f>
        <v/>
      </c>
      <c r="M62" t="str">
        <f>Koontitaulukko10[[#This Row],[Vesilaitoksen nimi]]</f>
        <v/>
      </c>
      <c r="N62" s="73" t="str">
        <f>Koontitaulukko10[[#This Row],[Vastauspvm]]</f>
        <v/>
      </c>
      <c r="O62" s="73"/>
    </row>
    <row r="63" spans="1:25" x14ac:dyDescent="0.25">
      <c r="A63" t="str">
        <f>Koontitaulukko10[[#This Row],[Kuuluuko kriteeri kyseisen laitoksen vastattavaksi]]</f>
        <v>Ei kuulu</v>
      </c>
      <c r="B63" t="str">
        <f>Koontitaulukko10[[#This Row],[Extra-kysymys]]</f>
        <v/>
      </c>
      <c r="C63" t="str">
        <f>Koontitaulukko10[[#This Row],[Kriteerin kokoluokka]]</f>
        <v xml:space="preserve">1,2,3,4 </v>
      </c>
      <c r="D63" t="str">
        <f>Koontitaulukko10[[#This Row],[Kriteerin toimiala]]</f>
        <v>A,B,C,D</v>
      </c>
      <c r="E63" t="str">
        <f>Koontitaulukko10[[#This Row],[Pääkategoria]]</f>
        <v>Kustannustehokas ja organisoitu</v>
      </c>
      <c r="F63" t="str">
        <f>Koontitaulukko10[[#This Row],[Alakategoria]]</f>
        <v>_Otsikkorivi</v>
      </c>
      <c r="G63" t="str">
        <f>Koontitaulukko10[[#This Row],[Arviointikriteeri]]</f>
        <v>5. Laitoksella on riittävät henkilöstöresurssit ja ammattitaitoinen henkilökunta, ja varallaolo on suunniteltu</v>
      </c>
      <c r="H63" t="str">
        <f>Koontitaulukko10[[#This Row],[Huoltovarmuus]]</f>
        <v>Ei</v>
      </c>
      <c r="I63" t="str">
        <f>Koontitaulukko10[[#This Row],[Vastaus ]]</f>
        <v/>
      </c>
      <c r="J63">
        <f>Koontitaulukko10[[#This Row],[Vastaajan kokoluokka]]</f>
        <v>0</v>
      </c>
      <c r="K63" t="str">
        <f>Koontitaulukko10[[#This Row],[Vastaajan toimiala]]</f>
        <v/>
      </c>
      <c r="L63" t="str">
        <f>Koontitaulukko10[[#This Row],[Kunta]]</f>
        <v/>
      </c>
      <c r="M63" t="str">
        <f>Koontitaulukko10[[#This Row],[Vesilaitoksen nimi]]</f>
        <v/>
      </c>
      <c r="N63" s="73" t="str">
        <f>Koontitaulukko10[[#This Row],[Vastauspvm]]</f>
        <v/>
      </c>
      <c r="O63" s="73"/>
    </row>
    <row r="64" spans="1:25" hidden="1" x14ac:dyDescent="0.25">
      <c r="A64" t="str">
        <f>Koontitaulukko10[[#This Row],[Kuuluuko kriteeri kyseisen laitoksen vastattavaksi]]</f>
        <v>Ei kuulu</v>
      </c>
      <c r="B64" t="str">
        <f>Koontitaulukko10[[#This Row],[Extra-kysymys]]</f>
        <v/>
      </c>
      <c r="C64" t="str">
        <f>Koontitaulukko10[[#This Row],[Kriteerin kokoluokka]]</f>
        <v>1,2,3,4</v>
      </c>
      <c r="D64" t="str">
        <f>Koontitaulukko10[[#This Row],[Kriteerin toimiala]]</f>
        <v>A,B,C,D</v>
      </c>
      <c r="E64" t="str">
        <f>Koontitaulukko10[[#This Row],[Pääkategoria]]</f>
        <v>Kustannustehokas ja organisoitu</v>
      </c>
      <c r="F64" t="str">
        <f>Koontitaulukko10[[#This Row],[Alakategoria]]</f>
        <v>5. Laitoksella on riittävät henkilöstöresurssit ja ammattitaitoinen henkilökunta, ja varallaolo on suunniteltu</v>
      </c>
      <c r="G64" t="str">
        <f>Koontitaulukko10[[#This Row],[Arviointikriteeri]]</f>
        <v>5.1 Henkilöstöllä on mahdollisuus kouluttautua ja työnantaja järjestää koulutusta havaitun tarpeen mukaan säännöllisesti.</v>
      </c>
      <c r="H64" t="str">
        <f>Koontitaulukko10[[#This Row],[Huoltovarmuus]]</f>
        <v>Ei</v>
      </c>
      <c r="I64" t="str">
        <f>Koontitaulukko10[[#This Row],[Vastaus ]]</f>
        <v/>
      </c>
      <c r="J64">
        <f>Koontitaulukko10[[#This Row],[Vastaajan kokoluokka]]</f>
        <v>0</v>
      </c>
      <c r="K64" t="str">
        <f>Koontitaulukko10[[#This Row],[Vastaajan toimiala]]</f>
        <v/>
      </c>
      <c r="L64" t="str">
        <f>Koontitaulukko10[[#This Row],[Kunta]]</f>
        <v/>
      </c>
      <c r="M64" t="str">
        <f>Koontitaulukko10[[#This Row],[Vesilaitoksen nimi]]</f>
        <v/>
      </c>
      <c r="N64" s="73" t="str">
        <f>Koontitaulukko10[[#This Row],[Vastauspvm]]</f>
        <v/>
      </c>
      <c r="O64" s="73"/>
    </row>
    <row r="65" spans="1:15" x14ac:dyDescent="0.25">
      <c r="A65" t="str">
        <f>Koontitaulukko10[[#This Row],[Kuuluuko kriteeri kyseisen laitoksen vastattavaksi]]</f>
        <v>Ei kuulu</v>
      </c>
      <c r="B65" t="str">
        <f>Koontitaulukko10[[#This Row],[Extra-kysymys]]</f>
        <v/>
      </c>
      <c r="C65" t="str">
        <f>Koontitaulukko10[[#This Row],[Kriteerin kokoluokka]]</f>
        <v>1,2,3,4</v>
      </c>
      <c r="D65" t="str">
        <f>Koontitaulukko10[[#This Row],[Kriteerin toimiala]]</f>
        <v>A,B,C,D</v>
      </c>
      <c r="E65" t="str">
        <f>Koontitaulukko10[[#This Row],[Pääkategoria]]</f>
        <v>Kustannustehokas ja organisoitu</v>
      </c>
      <c r="F65" t="str">
        <f>Koontitaulukko10[[#This Row],[Alakategoria]]</f>
        <v>5. Laitoksella on riittävät henkilöstöresurssit ja ammattitaitoinen henkilökunta, ja varallaolo on suunniteltu</v>
      </c>
      <c r="G65" t="str">
        <f>Koontitaulukko10[[#This Row],[Arviointikriteeri]]</f>
        <v>5.2 Vesihuoltolaitoksella on varallaolojärjestelmä, joka turvaa laitoksen operatiivisen toiminnan 24/7. Työajan ulkopuolisen ajan johtamisjärjestelyt on sovittu ja ohjeistettu. Hälytysyhteystieto on olemassa.</v>
      </c>
      <c r="H65" t="str">
        <f>Koontitaulukko10[[#This Row],[Huoltovarmuus]]</f>
        <v>Kyllä</v>
      </c>
      <c r="I65" t="str">
        <f>Koontitaulukko10[[#This Row],[Vastaus ]]</f>
        <v/>
      </c>
      <c r="J65">
        <f>Koontitaulukko10[[#This Row],[Vastaajan kokoluokka]]</f>
        <v>0</v>
      </c>
      <c r="K65" t="str">
        <f>Koontitaulukko10[[#This Row],[Vastaajan toimiala]]</f>
        <v/>
      </c>
      <c r="L65" t="str">
        <f>Koontitaulukko10[[#This Row],[Kunta]]</f>
        <v/>
      </c>
      <c r="M65" t="str">
        <f>Koontitaulukko10[[#This Row],[Vesilaitoksen nimi]]</f>
        <v/>
      </c>
      <c r="N65" s="73" t="str">
        <f>Koontitaulukko10[[#This Row],[Vastauspvm]]</f>
        <v/>
      </c>
      <c r="O65" s="73"/>
    </row>
    <row r="66" spans="1:15" x14ac:dyDescent="0.25">
      <c r="A66" t="str">
        <f>Koontitaulukko10[[#This Row],[Kuuluuko kriteeri kyseisen laitoksen vastattavaksi]]</f>
        <v>Ei kuulu</v>
      </c>
      <c r="B66" t="str">
        <f>Koontitaulukko10[[#This Row],[Extra-kysymys]]</f>
        <v/>
      </c>
      <c r="C66" t="str">
        <f>Koontitaulukko10[[#This Row],[Kriteerin kokoluokka]]</f>
        <v>1,2,3,4</v>
      </c>
      <c r="D66" t="str">
        <f>Koontitaulukko10[[#This Row],[Kriteerin toimiala]]</f>
        <v>A,B,C,D</v>
      </c>
      <c r="E66" t="str">
        <f>Koontitaulukko10[[#This Row],[Pääkategoria]]</f>
        <v>Kustannustehokas ja organisoitu</v>
      </c>
      <c r="F66" t="str">
        <f>Koontitaulukko10[[#This Row],[Alakategoria]]</f>
        <v>5. Laitoksella on riittävät henkilöstöresurssit ja ammattitaitoinen henkilökunta, ja varallaolo on suunniteltu</v>
      </c>
      <c r="G66" t="str">
        <f>Koontitaulukko10[[#This Row],[Arviointikriteeri]]</f>
        <v>5.3 Henkilökunta pystyy huolehtimaan kaikista operatiiviseen toimintaan liittyvistä kriittisistä toiminnoista itsenäisesti. TAI Vesihuoltolaitoksella on palvelusopimukset kriittisten toimintojen osalta.</v>
      </c>
      <c r="H66" t="str">
        <f>Koontitaulukko10[[#This Row],[Huoltovarmuus]]</f>
        <v>Kyllä</v>
      </c>
      <c r="I66" t="str">
        <f>Koontitaulukko10[[#This Row],[Vastaus ]]</f>
        <v/>
      </c>
      <c r="J66">
        <f>Koontitaulukko10[[#This Row],[Vastaajan kokoluokka]]</f>
        <v>0</v>
      </c>
      <c r="K66" t="str">
        <f>Koontitaulukko10[[#This Row],[Vastaajan toimiala]]</f>
        <v/>
      </c>
      <c r="L66" t="str">
        <f>Koontitaulukko10[[#This Row],[Kunta]]</f>
        <v/>
      </c>
      <c r="M66" t="str">
        <f>Koontitaulukko10[[#This Row],[Vesilaitoksen nimi]]</f>
        <v/>
      </c>
      <c r="N66" s="73" t="str">
        <f>Koontitaulukko10[[#This Row],[Vastauspvm]]</f>
        <v/>
      </c>
      <c r="O66" s="73"/>
    </row>
    <row r="67" spans="1:15" x14ac:dyDescent="0.25">
      <c r="A67" t="str">
        <f>Koontitaulukko10[[#This Row],[Kuuluuko kriteeri kyseisen laitoksen vastattavaksi]]</f>
        <v>Ei kuulu</v>
      </c>
      <c r="B67" t="str">
        <f>Koontitaulukko10[[#This Row],[Extra-kysymys]]</f>
        <v/>
      </c>
      <c r="C67" t="str">
        <f>Koontitaulukko10[[#This Row],[Kriteerin kokoluokka]]</f>
        <v>1,2,3,4</v>
      </c>
      <c r="D67" t="str">
        <f>Koontitaulukko10[[#This Row],[Kriteerin toimiala]]</f>
        <v>A,B,C,D</v>
      </c>
      <c r="E67" t="str">
        <f>Koontitaulukko10[[#This Row],[Pääkategoria]]</f>
        <v>Kustannustehokas ja organisoitu</v>
      </c>
      <c r="F67" t="str">
        <f>Koontitaulukko10[[#This Row],[Alakategoria]]</f>
        <v>5. Laitoksella on riittävät henkilöstöresurssit ja ammattitaitoinen henkilökunta, ja varallaolo on suunniteltu</v>
      </c>
      <c r="G67" t="str">
        <f>Koontitaulukko10[[#This Row],[Arviointikriteeri]]</f>
        <v xml:space="preserve">5.4 Henkilöstölle on laadittu laitoksen omat osaamistasovaatimukset. Osaamistasomäärityksessä voidaan hyödyntää esim. Vesihuoltolaitosten osaamiskriteerit -hankkeen osaamiskartoitustyökalua. </v>
      </c>
      <c r="H67" t="str">
        <f>Koontitaulukko10[[#This Row],[Huoltovarmuus]]</f>
        <v>Kyllä</v>
      </c>
      <c r="I67" t="str">
        <f>Koontitaulukko10[[#This Row],[Vastaus ]]</f>
        <v/>
      </c>
      <c r="J67">
        <f>Koontitaulukko10[[#This Row],[Vastaajan kokoluokka]]</f>
        <v>0</v>
      </c>
      <c r="K67" t="str">
        <f>Koontitaulukko10[[#This Row],[Vastaajan toimiala]]</f>
        <v/>
      </c>
      <c r="L67" t="str">
        <f>Koontitaulukko10[[#This Row],[Kunta]]</f>
        <v/>
      </c>
      <c r="M67" t="str">
        <f>Koontitaulukko10[[#This Row],[Vesilaitoksen nimi]]</f>
        <v/>
      </c>
      <c r="N67" s="73" t="str">
        <f>Koontitaulukko10[[#This Row],[Vastauspvm]]</f>
        <v/>
      </c>
      <c r="O67" s="73"/>
    </row>
    <row r="68" spans="1:15" x14ac:dyDescent="0.25">
      <c r="A68" t="str">
        <f>Koontitaulukko10[[#This Row],[Kuuluuko kriteeri kyseisen laitoksen vastattavaksi]]</f>
        <v>Ei kuulu</v>
      </c>
      <c r="B68" t="str">
        <f>Koontitaulukko10[[#This Row],[Extra-kysymys]]</f>
        <v/>
      </c>
      <c r="C68" t="str">
        <f>Koontitaulukko10[[#This Row],[Kriteerin kokoluokka]]</f>
        <v>1,2,3,4</v>
      </c>
      <c r="D68" t="str">
        <f>Koontitaulukko10[[#This Row],[Kriteerin toimiala]]</f>
        <v>A,B,C,D</v>
      </c>
      <c r="E68" t="str">
        <f>Koontitaulukko10[[#This Row],[Pääkategoria]]</f>
        <v>Kustannustehokas ja organisoitu</v>
      </c>
      <c r="F68" t="str">
        <f>Koontitaulukko10[[#This Row],[Alakategoria]]</f>
        <v>5. Laitoksella on riittävät henkilöstöresurssit ja ammattitaitoinen henkilökunta, ja varallaolo on suunniteltu</v>
      </c>
      <c r="G68" t="str">
        <f>Koontitaulukko10[[#This Row],[Arviointikriteeri]]</f>
        <v>5.5 Avainhenkilöt eli perustoiminnon ylläpitämisessä kriittiset henkilöt on tunnistettu ja nimetty. Avainhenkilöille on nimetty varahenkilöt, jotka on perehdytetty työnkuvaan.</v>
      </c>
      <c r="H68" t="str">
        <f>Koontitaulukko10[[#This Row],[Huoltovarmuus]]</f>
        <v>Kyllä</v>
      </c>
      <c r="I68" t="str">
        <f>Koontitaulukko10[[#This Row],[Vastaus ]]</f>
        <v/>
      </c>
      <c r="J68">
        <f>Koontitaulukko10[[#This Row],[Vastaajan kokoluokka]]</f>
        <v>0</v>
      </c>
      <c r="K68" t="str">
        <f>Koontitaulukko10[[#This Row],[Vastaajan toimiala]]</f>
        <v/>
      </c>
      <c r="L68" t="str">
        <f>Koontitaulukko10[[#This Row],[Kunta]]</f>
        <v/>
      </c>
      <c r="M68" t="str">
        <f>Koontitaulukko10[[#This Row],[Vesilaitoksen nimi]]</f>
        <v/>
      </c>
      <c r="N68" s="73" t="str">
        <f>Koontitaulukko10[[#This Row],[Vastauspvm]]</f>
        <v/>
      </c>
      <c r="O68" s="73"/>
    </row>
    <row r="69" spans="1:15" x14ac:dyDescent="0.25">
      <c r="A69" t="str">
        <f>Koontitaulukko10[[#This Row],[Kuuluuko kriteeri kyseisen laitoksen vastattavaksi]]</f>
        <v>Ei kuulu</v>
      </c>
      <c r="B69" t="str">
        <f>Koontitaulukko10[[#This Row],[Extra-kysymys]]</f>
        <v/>
      </c>
      <c r="C69">
        <f>Koontitaulukko10[[#This Row],[Kriteerin kokoluokka]]</f>
        <v>4</v>
      </c>
      <c r="D69" t="str">
        <f>Koontitaulukko10[[#This Row],[Kriteerin toimiala]]</f>
        <v>A,B,C,D</v>
      </c>
      <c r="E69" t="str">
        <f>Koontitaulukko10[[#This Row],[Pääkategoria]]</f>
        <v>Kustannustehokas ja organisoitu</v>
      </c>
      <c r="F69" t="str">
        <f>Koontitaulukko10[[#This Row],[Alakategoria]]</f>
        <v>5. Laitoksella on riittävät henkilöstöresurssit ja ammattitaitoinen henkilökunta, ja varallaolo on suunniteltu</v>
      </c>
      <c r="G69" t="str">
        <f>Koontitaulukko10[[#This Row],[Arviointikriteeri]]</f>
        <v>5.6 Vesihuoltolaitoksella on henkilökuntaa riittävästi, jotta omat tai ostopalvelut pystytään hoitamaan ennalta laaditun aikataulun mukaisesti (materiaalit, suunnittelu, rakentaminen, kunnossapito) ja hankkeita ei tarvitse viivyttää henkilöresurssien takia.</v>
      </c>
      <c r="H69" t="str">
        <f>Koontitaulukko10[[#This Row],[Huoltovarmuus]]</f>
        <v>Ei</v>
      </c>
      <c r="I69" t="str">
        <f>Koontitaulukko10[[#This Row],[Vastaus ]]</f>
        <v/>
      </c>
      <c r="J69">
        <f>Koontitaulukko10[[#This Row],[Vastaajan kokoluokka]]</f>
        <v>0</v>
      </c>
      <c r="K69" t="str">
        <f>Koontitaulukko10[[#This Row],[Vastaajan toimiala]]</f>
        <v/>
      </c>
      <c r="L69" t="str">
        <f>Koontitaulukko10[[#This Row],[Kunta]]</f>
        <v/>
      </c>
      <c r="M69" t="str">
        <f>Koontitaulukko10[[#This Row],[Vesilaitoksen nimi]]</f>
        <v/>
      </c>
      <c r="N69" s="73" t="str">
        <f>Koontitaulukko10[[#This Row],[Vastauspvm]]</f>
        <v/>
      </c>
      <c r="O69" s="73"/>
    </row>
    <row r="70" spans="1:15" x14ac:dyDescent="0.25">
      <c r="A70" t="str">
        <f>Koontitaulukko10[[#This Row],[Kuuluuko kriteeri kyseisen laitoksen vastattavaksi]]</f>
        <v>Ei kuulu</v>
      </c>
      <c r="B70" t="str">
        <f>Koontitaulukko10[[#This Row],[Extra-kysymys]]</f>
        <v/>
      </c>
      <c r="C70" t="str">
        <f>Koontitaulukko10[[#This Row],[Kriteerin kokoluokka]]</f>
        <v xml:space="preserve">1,2,3,4 </v>
      </c>
      <c r="D70" t="str">
        <f>Koontitaulukko10[[#This Row],[Kriteerin toimiala]]</f>
        <v>A,B,C,D</v>
      </c>
      <c r="E70" t="str">
        <f>Koontitaulukko10[[#This Row],[Pääkategoria]]</f>
        <v>Kustannustehokas ja organisoitu</v>
      </c>
      <c r="F70" t="str">
        <f>Koontitaulukko10[[#This Row],[Alakategoria]]</f>
        <v>_Otsikkorivi</v>
      </c>
      <c r="G70" t="str">
        <f>Koontitaulukko10[[#This Row],[Arviointikriteeri]]</f>
        <v>6. Omaisuuden hallinta, operointi ja kunnossapito on suunnitelmallista</v>
      </c>
      <c r="H70" t="str">
        <f>Koontitaulukko10[[#This Row],[Huoltovarmuus]]</f>
        <v>Ei</v>
      </c>
      <c r="I70" t="str">
        <f>Koontitaulukko10[[#This Row],[Vastaus ]]</f>
        <v/>
      </c>
      <c r="J70">
        <f>Koontitaulukko10[[#This Row],[Vastaajan kokoluokka]]</f>
        <v>0</v>
      </c>
      <c r="K70" t="str">
        <f>Koontitaulukko10[[#This Row],[Vastaajan toimiala]]</f>
        <v/>
      </c>
      <c r="L70" t="str">
        <f>Koontitaulukko10[[#This Row],[Kunta]]</f>
        <v/>
      </c>
      <c r="M70" t="str">
        <f>Koontitaulukko10[[#This Row],[Vesilaitoksen nimi]]</f>
        <v/>
      </c>
      <c r="N70" s="73" t="str">
        <f>Koontitaulukko10[[#This Row],[Vastauspvm]]</f>
        <v/>
      </c>
      <c r="O70" s="73"/>
    </row>
    <row r="71" spans="1:15" hidden="1" x14ac:dyDescent="0.25">
      <c r="A71" t="str">
        <f>Koontitaulukko10[[#This Row],[Kuuluuko kriteeri kyseisen laitoksen vastattavaksi]]</f>
        <v>Ei kuulu</v>
      </c>
      <c r="B71" t="str">
        <f>Koontitaulukko10[[#This Row],[Extra-kysymys]]</f>
        <v/>
      </c>
      <c r="C71">
        <f>Koontitaulukko10[[#This Row],[Kriteerin kokoluokka]]</f>
        <v>1.2</v>
      </c>
      <c r="D71" t="str">
        <f>Koontitaulukko10[[#This Row],[Kriteerin toimiala]]</f>
        <v>A,B,C,D</v>
      </c>
      <c r="E71" t="str">
        <f>Koontitaulukko10[[#This Row],[Pääkategoria]]</f>
        <v>Kustannustehokas ja organisoitu</v>
      </c>
      <c r="F71" t="str">
        <f>Koontitaulukko10[[#This Row],[Alakategoria]]</f>
        <v>6. Omaisuuden hallinta, operointi ja kunnossapito on suunnitelmallista</v>
      </c>
      <c r="G71" t="str">
        <f>Koontitaulukko10[[#This Row],[Arviointikriteeri]]</f>
        <v>6.1 Vesihuoltolaitoksen omaisuus (esim. verkostot, laitokset, rakennukset, pumppaamot ja säiliöt) on sähköisesti dokumentoitua. Omaisuuden perustieto (esim. verkostojen ja laitosten sijainti, koko, tyyppi, ikä) on kerätty sähköisesti taulukoihin tai vastaaviin. Omaisuuden perustiedot voivat osin olla puutteellisia tai oletuksia.</v>
      </c>
      <c r="H71" t="str">
        <f>Koontitaulukko10[[#This Row],[Huoltovarmuus]]</f>
        <v>Ei</v>
      </c>
      <c r="I71" t="str">
        <f>Koontitaulukko10[[#This Row],[Vastaus ]]</f>
        <v/>
      </c>
      <c r="J71">
        <f>Koontitaulukko10[[#This Row],[Vastaajan kokoluokka]]</f>
        <v>0</v>
      </c>
      <c r="K71" t="str">
        <f>Koontitaulukko10[[#This Row],[Vastaajan toimiala]]</f>
        <v/>
      </c>
      <c r="L71" t="str">
        <f>Koontitaulukko10[[#This Row],[Kunta]]</f>
        <v/>
      </c>
      <c r="M71" t="str">
        <f>Koontitaulukko10[[#This Row],[Vesilaitoksen nimi]]</f>
        <v/>
      </c>
      <c r="N71" s="73" t="str">
        <f>Koontitaulukko10[[#This Row],[Vastauspvm]]</f>
        <v/>
      </c>
      <c r="O71" s="73"/>
    </row>
    <row r="72" spans="1:15" x14ac:dyDescent="0.25">
      <c r="A72" t="str">
        <f>Koontitaulukko10[[#This Row],[Kuuluuko kriteeri kyseisen laitoksen vastattavaksi]]</f>
        <v>Ei kuulu</v>
      </c>
      <c r="B72" t="str">
        <f>Koontitaulukko10[[#This Row],[Extra-kysymys]]</f>
        <v/>
      </c>
      <c r="C72">
        <f>Koontitaulukko10[[#This Row],[Kriteerin kokoluokka]]</f>
        <v>3.4</v>
      </c>
      <c r="D72" t="str">
        <f>Koontitaulukko10[[#This Row],[Kriteerin toimiala]]</f>
        <v>A,B,C,D</v>
      </c>
      <c r="E72" t="str">
        <f>Koontitaulukko10[[#This Row],[Pääkategoria]]</f>
        <v>Kustannustehokas ja organisoitu</v>
      </c>
      <c r="F72" t="str">
        <f>Koontitaulukko10[[#This Row],[Alakategoria]]</f>
        <v>6. Omaisuuden hallinta, operointi ja kunnossapito on suunnitelmallista</v>
      </c>
      <c r="G72" t="str">
        <f>Koontitaulukko10[[#This Row],[Arviointikriteeri]]</f>
        <v>6.1 Vesihuoltolaitoksella on luotettava tietojärjestelmä omaisuudesta (verkostot, laitokset, rakennukset, pumppaamot ja säiliöt), tieto omaisuuden teknisistä (esim. verkostojen ja laitosten sijainti, koko, tyyppi, ikä) ja taloudellisista ominaisuustiedoista on olemassa ja sitä ylläpidetään.</v>
      </c>
      <c r="H72" t="str">
        <f>Koontitaulukko10[[#This Row],[Huoltovarmuus]]</f>
        <v>Ei</v>
      </c>
      <c r="I72" t="str">
        <f>Koontitaulukko10[[#This Row],[Vastaus ]]</f>
        <v/>
      </c>
      <c r="J72">
        <f>Koontitaulukko10[[#This Row],[Vastaajan kokoluokka]]</f>
        <v>0</v>
      </c>
      <c r="K72" t="str">
        <f>Koontitaulukko10[[#This Row],[Vastaajan toimiala]]</f>
        <v/>
      </c>
      <c r="L72" t="str">
        <f>Koontitaulukko10[[#This Row],[Kunta]]</f>
        <v/>
      </c>
      <c r="M72" t="str">
        <f>Koontitaulukko10[[#This Row],[Vesilaitoksen nimi]]</f>
        <v/>
      </c>
      <c r="N72" s="73" t="str">
        <f>Koontitaulukko10[[#This Row],[Vastauspvm]]</f>
        <v/>
      </c>
      <c r="O72" s="73"/>
    </row>
    <row r="73" spans="1:15" x14ac:dyDescent="0.25">
      <c r="A73" t="str">
        <f>Koontitaulukko10[[#This Row],[Kuuluuko kriteeri kyseisen laitoksen vastattavaksi]]</f>
        <v>Ei kuulu</v>
      </c>
      <c r="B73" t="str">
        <f>Koontitaulukko10[[#This Row],[Extra-kysymys]]</f>
        <v/>
      </c>
      <c r="C73">
        <f>Koontitaulukko10[[#This Row],[Kriteerin kokoluokka]]</f>
        <v>1.2</v>
      </c>
      <c r="D73" t="str">
        <f>Koontitaulukko10[[#This Row],[Kriteerin toimiala]]</f>
        <v>A,B,C,D</v>
      </c>
      <c r="E73" t="str">
        <f>Koontitaulukko10[[#This Row],[Pääkategoria]]</f>
        <v>Kustannustehokas ja organisoitu</v>
      </c>
      <c r="F73" t="str">
        <f>Koontitaulukko10[[#This Row],[Alakategoria]]</f>
        <v>6. Omaisuuden hallinta, operointi ja kunnossapito on suunnitelmallista</v>
      </c>
      <c r="G73" t="str">
        <f>Koontitaulukko10[[#This Row],[Arviointikriteeri]]</f>
        <v>6.2 Vesihuoltolaitoksen laitosten ja verkostojen automaatiojärjestelmistä kerätään luotettavaa tietoa sähköiseen muotoon.</v>
      </c>
      <c r="H73" t="str">
        <f>Koontitaulukko10[[#This Row],[Huoltovarmuus]]</f>
        <v>Ei</v>
      </c>
      <c r="I73" t="str">
        <f>Koontitaulukko10[[#This Row],[Vastaus ]]</f>
        <v/>
      </c>
      <c r="J73">
        <f>Koontitaulukko10[[#This Row],[Vastaajan kokoluokka]]</f>
        <v>0</v>
      </c>
      <c r="K73" t="str">
        <f>Koontitaulukko10[[#This Row],[Vastaajan toimiala]]</f>
        <v/>
      </c>
      <c r="L73" t="str">
        <f>Koontitaulukko10[[#This Row],[Kunta]]</f>
        <v/>
      </c>
      <c r="M73" t="str">
        <f>Koontitaulukko10[[#This Row],[Vesilaitoksen nimi]]</f>
        <v/>
      </c>
      <c r="N73" s="73" t="str">
        <f>Koontitaulukko10[[#This Row],[Vastauspvm]]</f>
        <v/>
      </c>
      <c r="O73" s="73"/>
    </row>
    <row r="74" spans="1:15" x14ac:dyDescent="0.25">
      <c r="A74" t="str">
        <f>Koontitaulukko10[[#This Row],[Kuuluuko kriteeri kyseisen laitoksen vastattavaksi]]</f>
        <v>Ei kuulu</v>
      </c>
      <c r="B74" t="str">
        <f>Koontitaulukko10[[#This Row],[Extra-kysymys]]</f>
        <v/>
      </c>
      <c r="C74">
        <f>Koontitaulukko10[[#This Row],[Kriteerin kokoluokka]]</f>
        <v>3.4</v>
      </c>
      <c r="D74" t="str">
        <f>Koontitaulukko10[[#This Row],[Kriteerin toimiala]]</f>
        <v>A,B,C,D</v>
      </c>
      <c r="E74" t="str">
        <f>Koontitaulukko10[[#This Row],[Pääkategoria]]</f>
        <v>Kustannustehokas ja organisoitu</v>
      </c>
      <c r="F74" t="str">
        <f>Koontitaulukko10[[#This Row],[Alakategoria]]</f>
        <v>6. Omaisuuden hallinta, operointi ja kunnossapito on suunnitelmallista</v>
      </c>
      <c r="G74" t="str">
        <f>Koontitaulukko10[[#This Row],[Arviointikriteeri]]</f>
        <v>6.2 Vesihuoltolaitoksen laitoksen ja verkostojen automaatiojärjestelmistä saadaan ja kerätään jatkuvaa, ajantasaista ja luotettavaa tietoa sähköiseen muotoon.</v>
      </c>
      <c r="H74" t="str">
        <f>Koontitaulukko10[[#This Row],[Huoltovarmuus]]</f>
        <v>Ei</v>
      </c>
      <c r="I74" t="str">
        <f>Koontitaulukko10[[#This Row],[Vastaus ]]</f>
        <v/>
      </c>
      <c r="J74">
        <f>Koontitaulukko10[[#This Row],[Vastaajan kokoluokka]]</f>
        <v>0</v>
      </c>
      <c r="K74" t="str">
        <f>Koontitaulukko10[[#This Row],[Vastaajan toimiala]]</f>
        <v/>
      </c>
      <c r="L74" t="str">
        <f>Koontitaulukko10[[#This Row],[Kunta]]</f>
        <v/>
      </c>
      <c r="M74" t="str">
        <f>Koontitaulukko10[[#This Row],[Vesilaitoksen nimi]]</f>
        <v/>
      </c>
      <c r="N74" s="73" t="str">
        <f>Koontitaulukko10[[#This Row],[Vastauspvm]]</f>
        <v/>
      </c>
      <c r="O74" s="73"/>
    </row>
    <row r="75" spans="1:15" x14ac:dyDescent="0.25">
      <c r="A75" t="str">
        <f>Koontitaulukko10[[#This Row],[Kuuluuko kriteeri kyseisen laitoksen vastattavaksi]]</f>
        <v>Ei kuulu</v>
      </c>
      <c r="B75" t="str">
        <f>Koontitaulukko10[[#This Row],[Extra-kysymys]]</f>
        <v/>
      </c>
      <c r="C75" t="str">
        <f>Koontitaulukko10[[#This Row],[Kriteerin kokoluokka]]</f>
        <v>1,2,3,4</v>
      </c>
      <c r="D75" t="str">
        <f>Koontitaulukko10[[#This Row],[Kriteerin toimiala]]</f>
        <v>A,B,C,D</v>
      </c>
      <c r="E75" t="str">
        <f>Koontitaulukko10[[#This Row],[Pääkategoria]]</f>
        <v>Kustannustehokas ja organisoitu</v>
      </c>
      <c r="F75" t="str">
        <f>Koontitaulukko10[[#This Row],[Alakategoria]]</f>
        <v>6. Omaisuuden hallinta, operointi ja kunnossapito on suunnitelmallista</v>
      </c>
      <c r="G75" t="str">
        <f>Koontitaulukko10[[#This Row],[Arviointikriteeri]]</f>
        <v>6.3 Vesihuoltolaitoksen laitosten ja verkostojen kuntoa seurataan ja tietoa hyödynnetään laitteiden kunnossapidossa ja saneerauksessa. Rakenteita ja laitteita huolletaan suunnitellusti ja toiminta painottuu ennalta suunniteltuihin toimenpiteisiin. Vesihuoltolaitoksen kunnossapidolle on jatkuvan kunnossapidon toimintatavat. (esim. viikkokierrokset, ennakkohuolto-ohjelma)</v>
      </c>
      <c r="H75" t="str">
        <f>Koontitaulukko10[[#This Row],[Huoltovarmuus]]</f>
        <v>Kyllä</v>
      </c>
      <c r="I75" t="str">
        <f>Koontitaulukko10[[#This Row],[Vastaus ]]</f>
        <v/>
      </c>
      <c r="J75">
        <f>Koontitaulukko10[[#This Row],[Vastaajan kokoluokka]]</f>
        <v>0</v>
      </c>
      <c r="K75" t="str">
        <f>Koontitaulukko10[[#This Row],[Vastaajan toimiala]]</f>
        <v/>
      </c>
      <c r="L75" t="str">
        <f>Koontitaulukko10[[#This Row],[Kunta]]</f>
        <v/>
      </c>
      <c r="M75" t="str">
        <f>Koontitaulukko10[[#This Row],[Vesilaitoksen nimi]]</f>
        <v/>
      </c>
      <c r="N75" s="73" t="str">
        <f>Koontitaulukko10[[#This Row],[Vastauspvm]]</f>
        <v/>
      </c>
      <c r="O75" s="73"/>
    </row>
    <row r="76" spans="1:15" x14ac:dyDescent="0.25">
      <c r="A76" t="str">
        <f>Koontitaulukko10[[#This Row],[Kuuluuko kriteeri kyseisen laitoksen vastattavaksi]]</f>
        <v>Ei kuulu</v>
      </c>
      <c r="B76" t="str">
        <f>Koontitaulukko10[[#This Row],[Extra-kysymys]]</f>
        <v/>
      </c>
      <c r="C76" t="str">
        <f>Koontitaulukko10[[#This Row],[Kriteerin kokoluokka]]</f>
        <v>2,3,4</v>
      </c>
      <c r="D76" t="str">
        <f>Koontitaulukko10[[#This Row],[Kriteerin toimiala]]</f>
        <v>A,B,C,D</v>
      </c>
      <c r="E76" t="str">
        <f>Koontitaulukko10[[#This Row],[Pääkategoria]]</f>
        <v>Kustannustehokas ja organisoitu</v>
      </c>
      <c r="F76" t="str">
        <f>Koontitaulukko10[[#This Row],[Alakategoria]]</f>
        <v>6. Omaisuuden hallinta, operointi ja kunnossapito on suunnitelmallista</v>
      </c>
      <c r="G76" t="str">
        <f>Koontitaulukko10[[#This Row],[Arviointikriteeri]]</f>
        <v>6.4 Vesihuoltolaitos on määrittänyt toiminnalleen KPI-mittarit (key performance indicator), joita seurataan.</v>
      </c>
      <c r="H76" t="str">
        <f>Koontitaulukko10[[#This Row],[Huoltovarmuus]]</f>
        <v>Ei</v>
      </c>
      <c r="I76" t="str">
        <f>Koontitaulukko10[[#This Row],[Vastaus ]]</f>
        <v/>
      </c>
      <c r="J76">
        <f>Koontitaulukko10[[#This Row],[Vastaajan kokoluokka]]</f>
        <v>0</v>
      </c>
      <c r="K76" t="str">
        <f>Koontitaulukko10[[#This Row],[Vastaajan toimiala]]</f>
        <v/>
      </c>
      <c r="L76" t="str">
        <f>Koontitaulukko10[[#This Row],[Kunta]]</f>
        <v/>
      </c>
      <c r="M76" t="str">
        <f>Koontitaulukko10[[#This Row],[Vesilaitoksen nimi]]</f>
        <v/>
      </c>
      <c r="N76" s="73" t="str">
        <f>Koontitaulukko10[[#This Row],[Vastauspvm]]</f>
        <v/>
      </c>
      <c r="O76" s="73"/>
    </row>
    <row r="77" spans="1:15" x14ac:dyDescent="0.25">
      <c r="A77" t="str">
        <f>Koontitaulukko10[[#This Row],[Kuuluuko kriteeri kyseisen laitoksen vastattavaksi]]</f>
        <v>Ei kuulu</v>
      </c>
      <c r="B77" t="str">
        <f>Koontitaulukko10[[#This Row],[Extra-kysymys]]</f>
        <v/>
      </c>
      <c r="C77" t="str">
        <f>Koontitaulukko10[[#This Row],[Kriteerin kokoluokka]]</f>
        <v>2,3,4</v>
      </c>
      <c r="D77" t="str">
        <f>Koontitaulukko10[[#This Row],[Kriteerin toimiala]]</f>
        <v>A,B,C,D</v>
      </c>
      <c r="E77" t="str">
        <f>Koontitaulukko10[[#This Row],[Pääkategoria]]</f>
        <v>Kustannustehokas ja organisoitu</v>
      </c>
      <c r="F77" t="str">
        <f>Koontitaulukko10[[#This Row],[Alakategoria]]</f>
        <v>6. Omaisuuden hallinta, operointi ja kunnossapito on suunnitelmallista</v>
      </c>
      <c r="G77" t="str">
        <f>Koontitaulukko10[[#This Row],[Arviointikriteeri]]</f>
        <v>6.5 Vesihuoltolaitoksen laitoksista ja verkostoista kerätään järjestelmällisesti tietoa suunnittelun, rakentamisen, saneerauksen ja kunnossapidon osalta.</v>
      </c>
      <c r="H77" t="str">
        <f>Koontitaulukko10[[#This Row],[Huoltovarmuus]]</f>
        <v>Ei</v>
      </c>
      <c r="I77" t="str">
        <f>Koontitaulukko10[[#This Row],[Vastaus ]]</f>
        <v/>
      </c>
      <c r="J77">
        <f>Koontitaulukko10[[#This Row],[Vastaajan kokoluokka]]</f>
        <v>0</v>
      </c>
      <c r="K77" t="str">
        <f>Koontitaulukko10[[#This Row],[Vastaajan toimiala]]</f>
        <v/>
      </c>
      <c r="L77" t="str">
        <f>Koontitaulukko10[[#This Row],[Kunta]]</f>
        <v/>
      </c>
      <c r="M77" t="str">
        <f>Koontitaulukko10[[#This Row],[Vesilaitoksen nimi]]</f>
        <v/>
      </c>
      <c r="N77" s="73" t="str">
        <f>Koontitaulukko10[[#This Row],[Vastauspvm]]</f>
        <v/>
      </c>
      <c r="O77" s="73"/>
    </row>
    <row r="78" spans="1:15" x14ac:dyDescent="0.25">
      <c r="A78" t="str">
        <f>Koontitaulukko10[[#This Row],[Kuuluuko kriteeri kyseisen laitoksen vastattavaksi]]</f>
        <v>Ei kuulu</v>
      </c>
      <c r="B78" t="str">
        <f>Koontitaulukko10[[#This Row],[Extra-kysymys]]</f>
        <v/>
      </c>
      <c r="C78">
        <f>Koontitaulukko10[[#This Row],[Kriteerin kokoluokka]]</f>
        <v>3.4</v>
      </c>
      <c r="D78" t="str">
        <f>Koontitaulukko10[[#This Row],[Kriteerin toimiala]]</f>
        <v>A,B,C,D</v>
      </c>
      <c r="E78" t="str">
        <f>Koontitaulukko10[[#This Row],[Pääkategoria]]</f>
        <v>Kustannustehokas ja organisoitu</v>
      </c>
      <c r="F78" t="str">
        <f>Koontitaulukko10[[#This Row],[Alakategoria]]</f>
        <v>6. Omaisuuden hallinta, operointi ja kunnossapito on suunnitelmallista</v>
      </c>
      <c r="G78" t="str">
        <f>Koontitaulukko10[[#This Row],[Arviointikriteeri]]</f>
        <v>6.6 Vesihuoltolaitos käyttää sähköistä kunnossapitojärjestelmää.</v>
      </c>
      <c r="H78" t="str">
        <f>Koontitaulukko10[[#This Row],[Huoltovarmuus]]</f>
        <v>Ei</v>
      </c>
      <c r="I78" t="str">
        <f>Koontitaulukko10[[#This Row],[Vastaus ]]</f>
        <v/>
      </c>
      <c r="J78">
        <f>Koontitaulukko10[[#This Row],[Vastaajan kokoluokka]]</f>
        <v>0</v>
      </c>
      <c r="K78" t="str">
        <f>Koontitaulukko10[[#This Row],[Vastaajan toimiala]]</f>
        <v/>
      </c>
      <c r="L78" t="str">
        <f>Koontitaulukko10[[#This Row],[Kunta]]</f>
        <v/>
      </c>
      <c r="M78" t="str">
        <f>Koontitaulukko10[[#This Row],[Vesilaitoksen nimi]]</f>
        <v/>
      </c>
      <c r="N78" s="73" t="str">
        <f>Koontitaulukko10[[#This Row],[Vastauspvm]]</f>
        <v/>
      </c>
      <c r="O78" s="73"/>
    </row>
    <row r="79" spans="1:15" x14ac:dyDescent="0.25">
      <c r="A79" t="str">
        <f>Koontitaulukko10[[#This Row],[Kuuluuko kriteeri kyseisen laitoksen vastattavaksi]]</f>
        <v>Ei kuulu</v>
      </c>
      <c r="B79" t="str">
        <f>Koontitaulukko10[[#This Row],[Extra-kysymys]]</f>
        <v/>
      </c>
      <c r="C79">
        <f>Koontitaulukko10[[#This Row],[Kriteerin kokoluokka]]</f>
        <v>3.4</v>
      </c>
      <c r="D79" t="str">
        <f>Koontitaulukko10[[#This Row],[Kriteerin toimiala]]</f>
        <v>B</v>
      </c>
      <c r="E79" t="str">
        <f>Koontitaulukko10[[#This Row],[Pääkategoria]]</f>
        <v>Kustannustehokas ja organisoitu</v>
      </c>
      <c r="F79" t="str">
        <f>Koontitaulukko10[[#This Row],[Alakategoria]]</f>
        <v>6. Omaisuuden hallinta, operointi ja kunnossapito on suunnitelmallista</v>
      </c>
      <c r="G79" t="str">
        <f>Koontitaulukko10[[#This Row],[Arviointikriteeri]]</f>
        <v xml:space="preserve">6.7 Vesihuoltolaitoksen vedenjakeluverkoston vuotoja mitataan ja seurataan ja vuotavuusprosentti on määritelty verkostoalueittain. </v>
      </c>
      <c r="H79" t="str">
        <f>Koontitaulukko10[[#This Row],[Huoltovarmuus]]</f>
        <v>Ei</v>
      </c>
      <c r="I79" t="str">
        <f>Koontitaulukko10[[#This Row],[Vastaus ]]</f>
        <v/>
      </c>
      <c r="J79">
        <f>Koontitaulukko10[[#This Row],[Vastaajan kokoluokka]]</f>
        <v>0</v>
      </c>
      <c r="K79" t="str">
        <f>Koontitaulukko10[[#This Row],[Vastaajan toimiala]]</f>
        <v/>
      </c>
      <c r="L79" t="str">
        <f>Koontitaulukko10[[#This Row],[Kunta]]</f>
        <v/>
      </c>
      <c r="M79" t="str">
        <f>Koontitaulukko10[[#This Row],[Vesilaitoksen nimi]]</f>
        <v/>
      </c>
      <c r="N79" s="73" t="str">
        <f>Koontitaulukko10[[#This Row],[Vastauspvm]]</f>
        <v/>
      </c>
      <c r="O79" s="73"/>
    </row>
    <row r="80" spans="1:15" x14ac:dyDescent="0.25">
      <c r="A80" t="str">
        <f>Koontitaulukko10[[#This Row],[Kuuluuko kriteeri kyseisen laitoksen vastattavaksi]]</f>
        <v>Ei kuulu</v>
      </c>
      <c r="B80" t="str">
        <f>Koontitaulukko10[[#This Row],[Extra-kysymys]]</f>
        <v/>
      </c>
      <c r="C80">
        <f>Koontitaulukko10[[#This Row],[Kriteerin kokoluokka]]</f>
        <v>4</v>
      </c>
      <c r="D80" t="str">
        <f>Koontitaulukko10[[#This Row],[Kriteerin toimiala]]</f>
        <v>A,B,C,D</v>
      </c>
      <c r="E80" t="str">
        <f>Koontitaulukko10[[#This Row],[Pääkategoria]]</f>
        <v>Kustannustehokas ja organisoitu</v>
      </c>
      <c r="F80" t="str">
        <f>Koontitaulukko10[[#This Row],[Alakategoria]]</f>
        <v>6. Omaisuuden hallinta, operointi ja kunnossapito on suunnitelmallista</v>
      </c>
      <c r="G80" t="str">
        <f>Koontitaulukko10[[#This Row],[Arviointikriteeri]]</f>
        <v>6.8 Vesihuoltolaitoksella on pitkän aikavälin omaisuudenhallintasuunnitelma (20 v).</v>
      </c>
      <c r="H80" t="str">
        <f>Koontitaulukko10[[#This Row],[Huoltovarmuus]]</f>
        <v>Ei</v>
      </c>
      <c r="I80" t="str">
        <f>Koontitaulukko10[[#This Row],[Vastaus ]]</f>
        <v/>
      </c>
      <c r="J80">
        <f>Koontitaulukko10[[#This Row],[Vastaajan kokoluokka]]</f>
        <v>0</v>
      </c>
      <c r="K80" t="str">
        <f>Koontitaulukko10[[#This Row],[Vastaajan toimiala]]</f>
        <v/>
      </c>
      <c r="L80" t="str">
        <f>Koontitaulukko10[[#This Row],[Kunta]]</f>
        <v/>
      </c>
      <c r="M80" t="str">
        <f>Koontitaulukko10[[#This Row],[Vesilaitoksen nimi]]</f>
        <v/>
      </c>
      <c r="N80" s="73" t="str">
        <f>Koontitaulukko10[[#This Row],[Vastauspvm]]</f>
        <v/>
      </c>
      <c r="O80" s="73"/>
    </row>
    <row r="81" spans="1:15" x14ac:dyDescent="0.25">
      <c r="A81" t="str">
        <f>Koontitaulukko10[[#This Row],[Kuuluuko kriteeri kyseisen laitoksen vastattavaksi]]</f>
        <v>Ei kuulu</v>
      </c>
      <c r="B81" t="str">
        <f>Koontitaulukko10[[#This Row],[Extra-kysymys]]</f>
        <v/>
      </c>
      <c r="C81">
        <f>Koontitaulukko10[[#This Row],[Kriteerin kokoluokka]]</f>
        <v>5</v>
      </c>
      <c r="D81" t="str">
        <f>Koontitaulukko10[[#This Row],[Kriteerin toimiala]]</f>
        <v>A,B,C,D</v>
      </c>
      <c r="E81" t="str">
        <f>Koontitaulukko10[[#This Row],[Pääkategoria]]</f>
        <v>Kustannustehokas ja organisoitu</v>
      </c>
      <c r="F81" t="str">
        <f>Koontitaulukko10[[#This Row],[Alakategoria]]</f>
        <v>6. Omaisuuden hallinta, operointi ja kunnossapito on suunnitelmallista</v>
      </c>
      <c r="G81" t="str">
        <f>Koontitaulukko10[[#This Row],[Arviointikriteeri]]</f>
        <v>6.9 Vesihuoltolaitoksella on käytössä auditoitu omaisuudenhallinnan johtamisjärjestelmä (esim. ISO 55000).</v>
      </c>
      <c r="H81" t="str">
        <f>Koontitaulukko10[[#This Row],[Huoltovarmuus]]</f>
        <v>Ei</v>
      </c>
      <c r="I81" t="str">
        <f>Koontitaulukko10[[#This Row],[Vastaus ]]</f>
        <v/>
      </c>
      <c r="J81">
        <f>Koontitaulukko10[[#This Row],[Vastaajan kokoluokka]]</f>
        <v>0</v>
      </c>
      <c r="K81" t="str">
        <f>Koontitaulukko10[[#This Row],[Vastaajan toimiala]]</f>
        <v/>
      </c>
      <c r="L81" t="str">
        <f>Koontitaulukko10[[#This Row],[Kunta]]</f>
        <v/>
      </c>
      <c r="M81" t="str">
        <f>Koontitaulukko10[[#This Row],[Vesilaitoksen nimi]]</f>
        <v/>
      </c>
      <c r="N81" s="73" t="str">
        <f>Koontitaulukko10[[#This Row],[Vastauspvm]]</f>
        <v/>
      </c>
      <c r="O81" s="73"/>
    </row>
    <row r="82" spans="1:15" x14ac:dyDescent="0.25">
      <c r="A82" t="str">
        <f>Koontitaulukko10[[#This Row],[Kuuluuko kriteeri kyseisen laitoksen vastattavaksi]]</f>
        <v>Ei kuulu</v>
      </c>
      <c r="B82" t="str">
        <f>Koontitaulukko10[[#This Row],[Extra-kysymys]]</f>
        <v/>
      </c>
      <c r="C82">
        <f>Koontitaulukko10[[#This Row],[Kriteerin kokoluokka]]</f>
        <v>5</v>
      </c>
      <c r="D82" t="str">
        <f>Koontitaulukko10[[#This Row],[Kriteerin toimiala]]</f>
        <v>A,B,C,D</v>
      </c>
      <c r="E82" t="str">
        <f>Koontitaulukko10[[#This Row],[Pääkategoria]]</f>
        <v>Kustannustehokas ja organisoitu</v>
      </c>
      <c r="F82" t="str">
        <f>Koontitaulukko10[[#This Row],[Alakategoria]]</f>
        <v>6. Omaisuuden hallinta, operointi ja kunnossapito on suunnitelmallista</v>
      </c>
      <c r="G82" t="str">
        <f>Koontitaulukko10[[#This Row],[Arviointikriteeri]]</f>
        <v>6.10 Vesihuoltolaitoksen laitosten ja verkoston automaatiojärjestelmistä saadaan jatkuvaa, ajantasaista ja virheetöntä tietoa räätälöidysti raportoituna organisaation eri tasoille. Tietoa hyödynnetään päätöksenteossa.</v>
      </c>
      <c r="H82" t="str">
        <f>Koontitaulukko10[[#This Row],[Huoltovarmuus]]</f>
        <v>Ei</v>
      </c>
      <c r="I82" t="str">
        <f>Koontitaulukko10[[#This Row],[Vastaus ]]</f>
        <v/>
      </c>
      <c r="J82">
        <f>Koontitaulukko10[[#This Row],[Vastaajan kokoluokka]]</f>
        <v>0</v>
      </c>
      <c r="K82" t="str">
        <f>Koontitaulukko10[[#This Row],[Vastaajan toimiala]]</f>
        <v/>
      </c>
      <c r="L82" t="str">
        <f>Koontitaulukko10[[#This Row],[Kunta]]</f>
        <v/>
      </c>
      <c r="M82" t="str">
        <f>Koontitaulukko10[[#This Row],[Vesilaitoksen nimi]]</f>
        <v/>
      </c>
      <c r="N82" s="73" t="str">
        <f>Koontitaulukko10[[#This Row],[Vastauspvm]]</f>
        <v/>
      </c>
      <c r="O82" s="73"/>
    </row>
    <row r="83" spans="1:15" x14ac:dyDescent="0.25">
      <c r="A83" t="str">
        <f>Koontitaulukko10[[#This Row],[Kuuluuko kriteeri kyseisen laitoksen vastattavaksi]]</f>
        <v>Ei kuulu</v>
      </c>
      <c r="B83" t="str">
        <f>Koontitaulukko10[[#This Row],[Extra-kysymys]]</f>
        <v/>
      </c>
      <c r="C83" t="str">
        <f>Koontitaulukko10[[#This Row],[Kriteerin kokoluokka]]</f>
        <v xml:space="preserve">1,2,3,4 </v>
      </c>
      <c r="D83" t="str">
        <f>Koontitaulukko10[[#This Row],[Kriteerin toimiala]]</f>
        <v>A,B,C,D</v>
      </c>
      <c r="E83" t="str">
        <f>Koontitaulukko10[[#This Row],[Pääkategoria]]</f>
        <v>Kustannustehokas ja organisoitu</v>
      </c>
      <c r="F83" t="str">
        <f>Koontitaulukko10[[#This Row],[Alakategoria]]</f>
        <v>_Otsikkorivi</v>
      </c>
      <c r="G83" t="str">
        <f>Koontitaulukko10[[#This Row],[Arviointikriteeri]]</f>
        <v>7. Johtaminen on suunniteltua ja toiminta on kannattavaa</v>
      </c>
      <c r="H83" t="str">
        <f>Koontitaulukko10[[#This Row],[Huoltovarmuus]]</f>
        <v>Ei</v>
      </c>
      <c r="I83" t="str">
        <f>Koontitaulukko10[[#This Row],[Vastaus ]]</f>
        <v/>
      </c>
      <c r="J83">
        <f>Koontitaulukko10[[#This Row],[Vastaajan kokoluokka]]</f>
        <v>0</v>
      </c>
      <c r="K83" t="str">
        <f>Koontitaulukko10[[#This Row],[Vastaajan toimiala]]</f>
        <v/>
      </c>
      <c r="L83" t="str">
        <f>Koontitaulukko10[[#This Row],[Kunta]]</f>
        <v/>
      </c>
      <c r="M83" t="str">
        <f>Koontitaulukko10[[#This Row],[Vesilaitoksen nimi]]</f>
        <v/>
      </c>
      <c r="N83" s="73" t="str">
        <f>Koontitaulukko10[[#This Row],[Vastauspvm]]</f>
        <v/>
      </c>
      <c r="O83" s="73"/>
    </row>
    <row r="84" spans="1:15" hidden="1" x14ac:dyDescent="0.25">
      <c r="A84" t="str">
        <f>Koontitaulukko10[[#This Row],[Kuuluuko kriteeri kyseisen laitoksen vastattavaksi]]</f>
        <v>Ei kuulu</v>
      </c>
      <c r="B84" t="str">
        <f>Koontitaulukko10[[#This Row],[Extra-kysymys]]</f>
        <v/>
      </c>
      <c r="C84" t="str">
        <f>Koontitaulukko10[[#This Row],[Kriteerin kokoluokka]]</f>
        <v>1,2,3,4</v>
      </c>
      <c r="D84" t="str">
        <f>Koontitaulukko10[[#This Row],[Kriteerin toimiala]]</f>
        <v>A,B,C,D</v>
      </c>
      <c r="E84" t="str">
        <f>Koontitaulukko10[[#This Row],[Pääkategoria]]</f>
        <v>Kustannustehokas ja organisoitu</v>
      </c>
      <c r="F84" t="str">
        <f>Koontitaulukko10[[#This Row],[Alakategoria]]</f>
        <v>7. Johtaminen on suunniteltua ja toiminta on kannattavaa</v>
      </c>
      <c r="G84" t="str">
        <f>Koontitaulukko10[[#This Row],[Arviointikriteeri]]</f>
        <v>7.1 Vesihuoltolaitoksella on selkeä kulut ja tuotot erittelevä taloushallintajärjestelmä tai vastaava pienille laitoksille soveltuva järjestelmä luokan 1 laitoksille.</v>
      </c>
      <c r="H84" t="str">
        <f>Koontitaulukko10[[#This Row],[Huoltovarmuus]]</f>
        <v>Ei</v>
      </c>
      <c r="I84" t="str">
        <f>Koontitaulukko10[[#This Row],[Vastaus ]]</f>
        <v/>
      </c>
      <c r="J84">
        <f>Koontitaulukko10[[#This Row],[Vastaajan kokoluokka]]</f>
        <v>0</v>
      </c>
      <c r="K84" t="str">
        <f>Koontitaulukko10[[#This Row],[Vastaajan toimiala]]</f>
        <v/>
      </c>
      <c r="L84" t="str">
        <f>Koontitaulukko10[[#This Row],[Kunta]]</f>
        <v/>
      </c>
      <c r="M84" t="str">
        <f>Koontitaulukko10[[#This Row],[Vesilaitoksen nimi]]</f>
        <v/>
      </c>
      <c r="N84" s="73" t="str">
        <f>Koontitaulukko10[[#This Row],[Vastauspvm]]</f>
        <v/>
      </c>
      <c r="O84" s="73"/>
    </row>
    <row r="85" spans="1:15" x14ac:dyDescent="0.25">
      <c r="A85" t="str">
        <f>Koontitaulukko10[[#This Row],[Kuuluuko kriteeri kyseisen laitoksen vastattavaksi]]</f>
        <v>Ei kuulu</v>
      </c>
      <c r="B85" t="str">
        <f>Koontitaulukko10[[#This Row],[Extra-kysymys]]</f>
        <v/>
      </c>
      <c r="C85" t="str">
        <f>Koontitaulukko10[[#This Row],[Kriteerin kokoluokka]]</f>
        <v>1,2,3,4</v>
      </c>
      <c r="D85" t="str">
        <f>Koontitaulukko10[[#This Row],[Kriteerin toimiala]]</f>
        <v>A,B,C,D</v>
      </c>
      <c r="E85" t="str">
        <f>Koontitaulukko10[[#This Row],[Pääkategoria]]</f>
        <v>Kustannustehokas ja organisoitu</v>
      </c>
      <c r="F85" t="str">
        <f>Koontitaulukko10[[#This Row],[Alakategoria]]</f>
        <v>7. Johtaminen on suunniteltua ja toiminta on kannattavaa</v>
      </c>
      <c r="G85" t="str">
        <f>Koontitaulukko10[[#This Row],[Arviointikriteeri]]</f>
        <v>7.2 Vesihuoltolaitoksella on ajantasainen pitkän aikavälin (min. 20 v) investointiohjelma, jossa on otettu huomioon vesihuollon ja kunnan tarpeet, huomioitu vesihuollon kehittämissuunnitelma sekä toimintavarmuus.</v>
      </c>
      <c r="H85" t="str">
        <f>Koontitaulukko10[[#This Row],[Huoltovarmuus]]</f>
        <v>Kyllä</v>
      </c>
      <c r="I85" t="str">
        <f>Koontitaulukko10[[#This Row],[Vastaus ]]</f>
        <v/>
      </c>
      <c r="J85">
        <f>Koontitaulukko10[[#This Row],[Vastaajan kokoluokka]]</f>
        <v>0</v>
      </c>
      <c r="K85" t="str">
        <f>Koontitaulukko10[[#This Row],[Vastaajan toimiala]]</f>
        <v/>
      </c>
      <c r="L85" t="str">
        <f>Koontitaulukko10[[#This Row],[Kunta]]</f>
        <v/>
      </c>
      <c r="M85" t="str">
        <f>Koontitaulukko10[[#This Row],[Vesilaitoksen nimi]]</f>
        <v/>
      </c>
      <c r="N85" s="73" t="str">
        <f>Koontitaulukko10[[#This Row],[Vastauspvm]]</f>
        <v/>
      </c>
      <c r="O85" s="73"/>
    </row>
    <row r="86" spans="1:15" x14ac:dyDescent="0.25">
      <c r="A86" t="str">
        <f>Koontitaulukko10[[#This Row],[Kuuluuko kriteeri kyseisen laitoksen vastattavaksi]]</f>
        <v>Ei kuulu</v>
      </c>
      <c r="B86" t="str">
        <f>Koontitaulukko10[[#This Row],[Extra-kysymys]]</f>
        <v/>
      </c>
      <c r="C86" t="str">
        <f>Koontitaulukko10[[#This Row],[Kriteerin kokoluokka]]</f>
        <v>1,2,3,4</v>
      </c>
      <c r="D86" t="str">
        <f>Koontitaulukko10[[#This Row],[Kriteerin toimiala]]</f>
        <v>A,B,C,D</v>
      </c>
      <c r="E86" t="str">
        <f>Koontitaulukko10[[#This Row],[Pääkategoria]]</f>
        <v>Kustannustehokas ja organisoitu</v>
      </c>
      <c r="F86" t="str">
        <f>Koontitaulukko10[[#This Row],[Alakategoria]]</f>
        <v>7. Johtaminen on suunniteltua ja toiminta on kannattavaa</v>
      </c>
      <c r="G86" t="str">
        <f>Koontitaulukko10[[#This Row],[Arviointikriteeri]]</f>
        <v>7.3 Vesihuoltolaitoksen perimät maksut ovat sellaiset, että pitkällä aikavälillä (20 v.) voidaan kattaa vesihuoltolaitoksen suunnitellut uus- ja korjausinvestoinnit ja käyttökustannukset.</v>
      </c>
      <c r="H86" t="str">
        <f>Koontitaulukko10[[#This Row],[Huoltovarmuus]]</f>
        <v>Kyllä</v>
      </c>
      <c r="I86" t="str">
        <f>Koontitaulukko10[[#This Row],[Vastaus ]]</f>
        <v/>
      </c>
      <c r="J86">
        <f>Koontitaulukko10[[#This Row],[Vastaajan kokoluokka]]</f>
        <v>0</v>
      </c>
      <c r="K86" t="str">
        <f>Koontitaulukko10[[#This Row],[Vastaajan toimiala]]</f>
        <v/>
      </c>
      <c r="L86" t="str">
        <f>Koontitaulukko10[[#This Row],[Kunta]]</f>
        <v/>
      </c>
      <c r="M86" t="str">
        <f>Koontitaulukko10[[#This Row],[Vesilaitoksen nimi]]</f>
        <v/>
      </c>
      <c r="N86" s="73" t="str">
        <f>Koontitaulukko10[[#This Row],[Vastauspvm]]</f>
        <v/>
      </c>
      <c r="O86" s="73"/>
    </row>
    <row r="87" spans="1:15" x14ac:dyDescent="0.25">
      <c r="A87" t="str">
        <f>Koontitaulukko10[[#This Row],[Kuuluuko kriteeri kyseisen laitoksen vastattavaksi]]</f>
        <v>Ei kuulu</v>
      </c>
      <c r="B87" t="str">
        <f>Koontitaulukko10[[#This Row],[Extra-kysymys]]</f>
        <v/>
      </c>
      <c r="C87" t="str">
        <f>Koontitaulukko10[[#This Row],[Kriteerin kokoluokka]]</f>
        <v>1,2,3,4</v>
      </c>
      <c r="D87" t="str">
        <f>Koontitaulukko10[[#This Row],[Kriteerin toimiala]]</f>
        <v>A,B,C,D</v>
      </c>
      <c r="E87" t="str">
        <f>Koontitaulukko10[[#This Row],[Pääkategoria]]</f>
        <v>Kustannustehokas ja organisoitu</v>
      </c>
      <c r="F87" t="str">
        <f>Koontitaulukko10[[#This Row],[Alakategoria]]</f>
        <v>7. Johtaminen on suunniteltua ja toiminta on kannattavaa</v>
      </c>
      <c r="G87" t="str">
        <f>Koontitaulukko10[[#This Row],[Arviointikriteeri]]</f>
        <v>7.4 Vesihuoltolaitoksella on laadunhallintajärjestelmä tai toiminta on muuten järjestelmällistä ja kirjallisesti/sähköisesti dokumentoitua.</v>
      </c>
      <c r="H87" t="str">
        <f>Koontitaulukko10[[#This Row],[Huoltovarmuus]]</f>
        <v>Ei</v>
      </c>
      <c r="I87" t="str">
        <f>Koontitaulukko10[[#This Row],[Vastaus ]]</f>
        <v/>
      </c>
      <c r="J87">
        <f>Koontitaulukko10[[#This Row],[Vastaajan kokoluokka]]</f>
        <v>0</v>
      </c>
      <c r="K87" t="str">
        <f>Koontitaulukko10[[#This Row],[Vastaajan toimiala]]</f>
        <v/>
      </c>
      <c r="L87" t="str">
        <f>Koontitaulukko10[[#This Row],[Kunta]]</f>
        <v/>
      </c>
      <c r="M87" t="str">
        <f>Koontitaulukko10[[#This Row],[Vesilaitoksen nimi]]</f>
        <v/>
      </c>
      <c r="N87" s="73" t="str">
        <f>Koontitaulukko10[[#This Row],[Vastauspvm]]</f>
        <v/>
      </c>
      <c r="O87" s="73"/>
    </row>
    <row r="88" spans="1:15" x14ac:dyDescent="0.25">
      <c r="A88" t="str">
        <f>Koontitaulukko10[[#This Row],[Kuuluuko kriteeri kyseisen laitoksen vastattavaksi]]</f>
        <v>Ei kuulu</v>
      </c>
      <c r="B88" t="str">
        <f>Koontitaulukko10[[#This Row],[Extra-kysymys]]</f>
        <v/>
      </c>
      <c r="C88" t="str">
        <f>Koontitaulukko10[[#This Row],[Kriteerin kokoluokka]]</f>
        <v>1,2,3,4</v>
      </c>
      <c r="D88" t="str">
        <f>Koontitaulukko10[[#This Row],[Kriteerin toimiala]]</f>
        <v>A,B,C,D</v>
      </c>
      <c r="E88" t="str">
        <f>Koontitaulukko10[[#This Row],[Pääkategoria]]</f>
        <v>Kustannustehokas ja organisoitu</v>
      </c>
      <c r="F88" t="str">
        <f>Koontitaulukko10[[#This Row],[Alakategoria]]</f>
        <v>7. Johtaminen on suunniteltua ja toiminta on kannattavaa</v>
      </c>
      <c r="G88" t="str">
        <f>Koontitaulukko10[[#This Row],[Arviointikriteeri]]</f>
        <v>7.5 Vesihuoltolaitoksen tietojen hallinta on suunniteltua ja järjestelmällistä (esim. tiedonhallintasuunnitelma ja järjestelmä) eli varmistetaan tietojen turvallinen luokittelu, käsittely ja säilytys.</v>
      </c>
      <c r="H88" t="str">
        <f>Koontitaulukko10[[#This Row],[Huoltovarmuus]]</f>
        <v>Kyllä</v>
      </c>
      <c r="I88" t="str">
        <f>Koontitaulukko10[[#This Row],[Vastaus ]]</f>
        <v/>
      </c>
      <c r="J88">
        <f>Koontitaulukko10[[#This Row],[Vastaajan kokoluokka]]</f>
        <v>0</v>
      </c>
      <c r="K88" t="str">
        <f>Koontitaulukko10[[#This Row],[Vastaajan toimiala]]</f>
        <v/>
      </c>
      <c r="L88" t="str">
        <f>Koontitaulukko10[[#This Row],[Kunta]]</f>
        <v/>
      </c>
      <c r="M88" t="str">
        <f>Koontitaulukko10[[#This Row],[Vesilaitoksen nimi]]</f>
        <v/>
      </c>
      <c r="N88" s="73" t="str">
        <f>Koontitaulukko10[[#This Row],[Vastauspvm]]</f>
        <v/>
      </c>
      <c r="O88" s="73"/>
    </row>
    <row r="89" spans="1:15" x14ac:dyDescent="0.25">
      <c r="A89" t="str">
        <f>Koontitaulukko10[[#This Row],[Kuuluuko kriteeri kyseisen laitoksen vastattavaksi]]</f>
        <v>Ei kuulu</v>
      </c>
      <c r="B89" t="str">
        <f>Koontitaulukko10[[#This Row],[Extra-kysymys]]</f>
        <v/>
      </c>
      <c r="C89">
        <f>Koontitaulukko10[[#This Row],[Kriteerin kokoluokka]]</f>
        <v>1</v>
      </c>
      <c r="D89" t="str">
        <f>Koontitaulukko10[[#This Row],[Kriteerin toimiala]]</f>
        <v>A,B,C,D</v>
      </c>
      <c r="E89" t="str">
        <f>Koontitaulukko10[[#This Row],[Pääkategoria]]</f>
        <v>Kustannustehokas ja organisoitu</v>
      </c>
      <c r="F89" t="str">
        <f>Koontitaulukko10[[#This Row],[Alakategoria]]</f>
        <v>7. Johtaminen on suunniteltua ja toiminta on kannattavaa</v>
      </c>
      <c r="G89" t="str">
        <f>Koontitaulukko10[[#This Row],[Arviointikriteeri]]</f>
        <v>7.6 Vesihuoltolaitoksen toiminnasta kerätään järjestelmällisesti tietoa operatiivisen toiminnan (=päivittäisen toiminnan johtamisen) osalta.</v>
      </c>
      <c r="H89" t="str">
        <f>Koontitaulukko10[[#This Row],[Huoltovarmuus]]</f>
        <v>Ei</v>
      </c>
      <c r="I89" t="str">
        <f>Koontitaulukko10[[#This Row],[Vastaus ]]</f>
        <v/>
      </c>
      <c r="J89">
        <f>Koontitaulukko10[[#This Row],[Vastaajan kokoluokka]]</f>
        <v>0</v>
      </c>
      <c r="K89" t="str">
        <f>Koontitaulukko10[[#This Row],[Vastaajan toimiala]]</f>
        <v/>
      </c>
      <c r="L89" t="str">
        <f>Koontitaulukko10[[#This Row],[Kunta]]</f>
        <v/>
      </c>
      <c r="M89" t="str">
        <f>Koontitaulukko10[[#This Row],[Vesilaitoksen nimi]]</f>
        <v/>
      </c>
      <c r="N89" s="73" t="str">
        <f>Koontitaulukko10[[#This Row],[Vastauspvm]]</f>
        <v/>
      </c>
      <c r="O89" s="73"/>
    </row>
    <row r="90" spans="1:15" x14ac:dyDescent="0.25">
      <c r="A90" t="str">
        <f>Koontitaulukko10[[#This Row],[Kuuluuko kriteeri kyseisen laitoksen vastattavaksi]]</f>
        <v>Ei kuulu</v>
      </c>
      <c r="B90" t="str">
        <f>Koontitaulukko10[[#This Row],[Extra-kysymys]]</f>
        <v/>
      </c>
      <c r="C90" t="str">
        <f>Koontitaulukko10[[#This Row],[Kriteerin kokoluokka]]</f>
        <v>2,3,4</v>
      </c>
      <c r="D90" t="str">
        <f>Koontitaulukko10[[#This Row],[Kriteerin toimiala]]</f>
        <v>A,B,C,D</v>
      </c>
      <c r="E90" t="str">
        <f>Koontitaulukko10[[#This Row],[Pääkategoria]]</f>
        <v>Kustannustehokas ja organisoitu</v>
      </c>
      <c r="F90" t="str">
        <f>Koontitaulukko10[[#This Row],[Alakategoria]]</f>
        <v>7. Johtaminen on suunniteltua ja toiminta on kannattavaa</v>
      </c>
      <c r="G90" t="str">
        <f>Koontitaulukko10[[#This Row],[Arviointikriteeri]]</f>
        <v>7.6 Vesihuoltolaitoksen operatiivisesta toiminnasta kerätään järjestelmällisesti oleellista tietoa, jota hyödynnetään johtamisessa</v>
      </c>
      <c r="H90" t="str">
        <f>Koontitaulukko10[[#This Row],[Huoltovarmuus]]</f>
        <v>Ei</v>
      </c>
      <c r="I90" t="str">
        <f>Koontitaulukko10[[#This Row],[Vastaus ]]</f>
        <v/>
      </c>
      <c r="J90">
        <f>Koontitaulukko10[[#This Row],[Vastaajan kokoluokka]]</f>
        <v>0</v>
      </c>
      <c r="K90" t="str">
        <f>Koontitaulukko10[[#This Row],[Vastaajan toimiala]]</f>
        <v/>
      </c>
      <c r="L90" t="str">
        <f>Koontitaulukko10[[#This Row],[Kunta]]</f>
        <v/>
      </c>
      <c r="M90" t="str">
        <f>Koontitaulukko10[[#This Row],[Vesilaitoksen nimi]]</f>
        <v/>
      </c>
      <c r="N90" s="73" t="str">
        <f>Koontitaulukko10[[#This Row],[Vastauspvm]]</f>
        <v/>
      </c>
      <c r="O90" s="73"/>
    </row>
    <row r="91" spans="1:15" x14ac:dyDescent="0.25">
      <c r="A91" t="str">
        <f>Koontitaulukko10[[#This Row],[Kuuluuko kriteeri kyseisen laitoksen vastattavaksi]]</f>
        <v>Ei kuulu</v>
      </c>
      <c r="B91" t="str">
        <f>Koontitaulukko10[[#This Row],[Extra-kysymys]]</f>
        <v/>
      </c>
      <c r="C91">
        <f>Koontitaulukko10[[#This Row],[Kriteerin kokoluokka]]</f>
        <v>3.4</v>
      </c>
      <c r="D91" t="str">
        <f>Koontitaulukko10[[#This Row],[Kriteerin toimiala]]</f>
        <v>A,B,C,D</v>
      </c>
      <c r="E91" t="str">
        <f>Koontitaulukko10[[#This Row],[Pääkategoria]]</f>
        <v>Kustannustehokas ja organisoitu</v>
      </c>
      <c r="F91" t="str">
        <f>Koontitaulukko10[[#This Row],[Alakategoria]]</f>
        <v>7. Johtaminen on suunniteltua ja toiminta on kannattavaa</v>
      </c>
      <c r="G91" t="str">
        <f>Koontitaulukko10[[#This Row],[Arviointikriteeri]]</f>
        <v>7.7 Vesihuoltolaitoksella on käytössä operatiivisen toiminnan johtamisjärjestelmä (sisältää esim. vastuunjaon ja tehtäväkuvaukset) ja jatkuvan parantamisen toimintatapa.</v>
      </c>
      <c r="H91" t="str">
        <f>Koontitaulukko10[[#This Row],[Huoltovarmuus]]</f>
        <v>Ei</v>
      </c>
      <c r="I91" t="str">
        <f>Koontitaulukko10[[#This Row],[Vastaus ]]</f>
        <v/>
      </c>
      <c r="J91">
        <f>Koontitaulukko10[[#This Row],[Vastaajan kokoluokka]]</f>
        <v>0</v>
      </c>
      <c r="K91" t="str">
        <f>Koontitaulukko10[[#This Row],[Vastaajan toimiala]]</f>
        <v/>
      </c>
      <c r="L91" t="str">
        <f>Koontitaulukko10[[#This Row],[Kunta]]</f>
        <v/>
      </c>
      <c r="M91" t="str">
        <f>Koontitaulukko10[[#This Row],[Vesilaitoksen nimi]]</f>
        <v/>
      </c>
      <c r="N91" s="73" t="str">
        <f>Koontitaulukko10[[#This Row],[Vastauspvm]]</f>
        <v/>
      </c>
      <c r="O91" s="73"/>
    </row>
    <row r="92" spans="1:15" x14ac:dyDescent="0.25">
      <c r="A92" t="str">
        <f>Koontitaulukko10[[#This Row],[Kuuluuko kriteeri kyseisen laitoksen vastattavaksi]]</f>
        <v>Ei kuulu</v>
      </c>
      <c r="B92" t="str">
        <f>Koontitaulukko10[[#This Row],[Extra-kysymys]]</f>
        <v/>
      </c>
      <c r="C92">
        <f>Koontitaulukko10[[#This Row],[Kriteerin kokoluokka]]</f>
        <v>3.4</v>
      </c>
      <c r="D92" t="str">
        <f>Koontitaulukko10[[#This Row],[Kriteerin toimiala]]</f>
        <v>B,C</v>
      </c>
      <c r="E92" t="str">
        <f>Koontitaulukko10[[#This Row],[Pääkategoria]]</f>
        <v>Kustannustehokas ja organisoitu</v>
      </c>
      <c r="F92" t="str">
        <f>Koontitaulukko10[[#This Row],[Alakategoria]]</f>
        <v>7. Johtaminen on suunniteltua ja toiminta on kannattavaa</v>
      </c>
      <c r="G92" t="str">
        <f>Koontitaulukko10[[#This Row],[Arviointikriteeri]]</f>
        <v>7.8 Vesihuoltolaitos on kartoittanut tarpeen erisuuruisille perus- ja liittymismaksuille eri alueilla ja ottanut ne käyttöön niiden soveltuessa.</v>
      </c>
      <c r="H92" t="str">
        <f>Koontitaulukko10[[#This Row],[Huoltovarmuus]]</f>
        <v>Ei</v>
      </c>
      <c r="I92" t="str">
        <f>Koontitaulukko10[[#This Row],[Vastaus ]]</f>
        <v/>
      </c>
      <c r="J92">
        <f>Koontitaulukko10[[#This Row],[Vastaajan kokoluokka]]</f>
        <v>0</v>
      </c>
      <c r="K92" t="str">
        <f>Koontitaulukko10[[#This Row],[Vastaajan toimiala]]</f>
        <v/>
      </c>
      <c r="L92" t="str">
        <f>Koontitaulukko10[[#This Row],[Kunta]]</f>
        <v/>
      </c>
      <c r="M92" t="str">
        <f>Koontitaulukko10[[#This Row],[Vesilaitoksen nimi]]</f>
        <v/>
      </c>
      <c r="N92" s="73" t="str">
        <f>Koontitaulukko10[[#This Row],[Vastauspvm]]</f>
        <v/>
      </c>
      <c r="O92" s="73"/>
    </row>
    <row r="93" spans="1:15" x14ac:dyDescent="0.25">
      <c r="A93" t="str">
        <f>Koontitaulukko10[[#This Row],[Kuuluuko kriteeri kyseisen laitoksen vastattavaksi]]</f>
        <v>Ei kuulu</v>
      </c>
      <c r="B93" t="str">
        <f>Koontitaulukko10[[#This Row],[Extra-kysymys]]</f>
        <v/>
      </c>
      <c r="C93">
        <f>Koontitaulukko10[[#This Row],[Kriteerin kokoluokka]]</f>
        <v>4</v>
      </c>
      <c r="D93" t="str">
        <f>Koontitaulukko10[[#This Row],[Kriteerin toimiala]]</f>
        <v>A,B,C,D</v>
      </c>
      <c r="E93" t="str">
        <f>Koontitaulukko10[[#This Row],[Pääkategoria]]</f>
        <v>Kustannustehokas ja organisoitu</v>
      </c>
      <c r="F93" t="str">
        <f>Koontitaulukko10[[#This Row],[Alakategoria]]</f>
        <v>7. Johtaminen on suunniteltua ja toiminta on kannattavaa</v>
      </c>
      <c r="G93" t="str">
        <f>Koontitaulukko10[[#This Row],[Arviointikriteeri]]</f>
        <v>7.9 Vesihuoltolaitoksen henkilöstöllä ja johdolla on tulostavoitteet ja tulosmittarit tai muu määritelty ja mitattava ajuri, jota seurataan ja hyödynnetään toiminnan kehittämisessä.</v>
      </c>
      <c r="H93" t="str">
        <f>Koontitaulukko10[[#This Row],[Huoltovarmuus]]</f>
        <v>Ei</v>
      </c>
      <c r="I93" t="str">
        <f>Koontitaulukko10[[#This Row],[Vastaus ]]</f>
        <v/>
      </c>
      <c r="J93">
        <f>Koontitaulukko10[[#This Row],[Vastaajan kokoluokka]]</f>
        <v>0</v>
      </c>
      <c r="K93" t="str">
        <f>Koontitaulukko10[[#This Row],[Vastaajan toimiala]]</f>
        <v/>
      </c>
      <c r="L93" t="str">
        <f>Koontitaulukko10[[#This Row],[Kunta]]</f>
        <v/>
      </c>
      <c r="M93" t="str">
        <f>Koontitaulukko10[[#This Row],[Vesilaitoksen nimi]]</f>
        <v/>
      </c>
      <c r="N93" s="73" t="str">
        <f>Koontitaulukko10[[#This Row],[Vastauspvm]]</f>
        <v/>
      </c>
      <c r="O93" s="73"/>
    </row>
    <row r="94" spans="1:15" x14ac:dyDescent="0.25">
      <c r="A94" t="str">
        <f>Koontitaulukko10[[#This Row],[Kuuluuko kriteeri kyseisen laitoksen vastattavaksi]]</f>
        <v>Ei kuulu</v>
      </c>
      <c r="B94" t="str">
        <f>Koontitaulukko10[[#This Row],[Extra-kysymys]]</f>
        <v/>
      </c>
      <c r="C94">
        <f>Koontitaulukko10[[#This Row],[Kriteerin kokoluokka]]</f>
        <v>5</v>
      </c>
      <c r="D94" t="str">
        <f>Koontitaulukko10[[#This Row],[Kriteerin toimiala]]</f>
        <v>A,B,C,D</v>
      </c>
      <c r="E94" t="str">
        <f>Koontitaulukko10[[#This Row],[Pääkategoria]]</f>
        <v>Kustannustehokas ja organisoitu</v>
      </c>
      <c r="F94" t="str">
        <f>Koontitaulukko10[[#This Row],[Alakategoria]]</f>
        <v>7. Johtaminen on suunniteltua ja toiminta on kannattavaa</v>
      </c>
      <c r="G94" t="str">
        <f>Koontitaulukko10[[#This Row],[Arviointikriteeri]]</f>
        <v>7.10 Vesihuoltolaitoksella on käytössä auditoidut ISO 9001-laatujärjestelmä sekä ISO 14001 -ympäristöjärjestelmä tai muu vastaava järjestelmä.</v>
      </c>
      <c r="H94" t="str">
        <f>Koontitaulukko10[[#This Row],[Huoltovarmuus]]</f>
        <v>Ei</v>
      </c>
      <c r="I94" t="str">
        <f>Koontitaulukko10[[#This Row],[Vastaus ]]</f>
        <v/>
      </c>
      <c r="J94">
        <f>Koontitaulukko10[[#This Row],[Vastaajan kokoluokka]]</f>
        <v>0</v>
      </c>
      <c r="K94" t="str">
        <f>Koontitaulukko10[[#This Row],[Vastaajan toimiala]]</f>
        <v/>
      </c>
      <c r="L94" t="str">
        <f>Koontitaulukko10[[#This Row],[Kunta]]</f>
        <v/>
      </c>
      <c r="M94" t="str">
        <f>Koontitaulukko10[[#This Row],[Vesilaitoksen nimi]]</f>
        <v/>
      </c>
      <c r="N94" s="73" t="str">
        <f>Koontitaulukko10[[#This Row],[Vastauspvm]]</f>
        <v/>
      </c>
      <c r="O94" s="73"/>
    </row>
    <row r="95" spans="1:15" x14ac:dyDescent="0.25">
      <c r="A95" t="str">
        <f>Koontitaulukko10[[#This Row],[Kuuluuko kriteeri kyseisen laitoksen vastattavaksi]]</f>
        <v>Ei kuulu</v>
      </c>
      <c r="B95" t="str">
        <f>Koontitaulukko10[[#This Row],[Extra-kysymys]]</f>
        <v/>
      </c>
      <c r="C95">
        <f>Koontitaulukko10[[#This Row],[Kriteerin kokoluokka]]</f>
        <v>5</v>
      </c>
      <c r="D95" t="str">
        <f>Koontitaulukko10[[#This Row],[Kriteerin toimiala]]</f>
        <v>A,B,C,D</v>
      </c>
      <c r="E95" t="str">
        <f>Koontitaulukko10[[#This Row],[Pääkategoria]]</f>
        <v>Kustannustehokas ja organisoitu</v>
      </c>
      <c r="F95" t="str">
        <f>Koontitaulukko10[[#This Row],[Alakategoria]]</f>
        <v>7. Johtaminen on suunniteltua ja toiminta on kannattavaa</v>
      </c>
      <c r="G95" t="str">
        <f>Koontitaulukko10[[#This Row],[Arviointikriteeri]]</f>
        <v>7.11 Vesihuoltolaitoksella on käytössä auditoitu ISO 45001 työterveys- ja turvallisuusjärjestelmä tai muu vastaava.</v>
      </c>
      <c r="H95" t="str">
        <f>Koontitaulukko10[[#This Row],[Huoltovarmuus]]</f>
        <v>Ei</v>
      </c>
      <c r="I95" t="str">
        <f>Koontitaulukko10[[#This Row],[Vastaus ]]</f>
        <v/>
      </c>
      <c r="J95">
        <f>Koontitaulukko10[[#This Row],[Vastaajan kokoluokka]]</f>
        <v>0</v>
      </c>
      <c r="K95" t="str">
        <f>Koontitaulukko10[[#This Row],[Vastaajan toimiala]]</f>
        <v/>
      </c>
      <c r="L95" t="str">
        <f>Koontitaulukko10[[#This Row],[Kunta]]</f>
        <v/>
      </c>
      <c r="M95" t="str">
        <f>Koontitaulukko10[[#This Row],[Vesilaitoksen nimi]]</f>
        <v/>
      </c>
      <c r="N95" s="73" t="str">
        <f>Koontitaulukko10[[#This Row],[Vastauspvm]]</f>
        <v/>
      </c>
      <c r="O95" s="73"/>
    </row>
    <row r="96" spans="1:15" x14ac:dyDescent="0.25">
      <c r="A96" t="str">
        <f>Koontitaulukko10[[#This Row],[Kuuluuko kriteeri kyseisen laitoksen vastattavaksi]]</f>
        <v>Ei kuulu</v>
      </c>
      <c r="B96" t="str">
        <f>Koontitaulukko10[[#This Row],[Extra-kysymys]]</f>
        <v/>
      </c>
      <c r="C96" t="str">
        <f>Koontitaulukko10[[#This Row],[Kriteerin kokoluokka]]</f>
        <v xml:space="preserve">1,2,3,4 </v>
      </c>
      <c r="D96" t="str">
        <f>Koontitaulukko10[[#This Row],[Kriteerin toimiala]]</f>
        <v>A,B,C,D</v>
      </c>
      <c r="E96" t="str">
        <f>Koontitaulukko10[[#This Row],[Pääkategoria]]</f>
        <v>Kustannustehokas ja organisoitu</v>
      </c>
      <c r="F96" t="str">
        <f>Koontitaulukko10[[#This Row],[Alakategoria]]</f>
        <v>_Otsikkorivi</v>
      </c>
      <c r="G96" t="str">
        <f>Koontitaulukko10[[#This Row],[Arviointikriteeri]]</f>
        <v>8. Käyttötalouden hallinta ja hankinnat ovat suunniteltuja, tehostettuja ja läpinäkyviä.</v>
      </c>
      <c r="H96" t="str">
        <f>Koontitaulukko10[[#This Row],[Huoltovarmuus]]</f>
        <v>Ei</v>
      </c>
      <c r="I96" t="str">
        <f>Koontitaulukko10[[#This Row],[Vastaus ]]</f>
        <v/>
      </c>
      <c r="J96">
        <f>Koontitaulukko10[[#This Row],[Vastaajan kokoluokka]]</f>
        <v>0</v>
      </c>
      <c r="K96" t="str">
        <f>Koontitaulukko10[[#This Row],[Vastaajan toimiala]]</f>
        <v/>
      </c>
      <c r="L96" t="str">
        <f>Koontitaulukko10[[#This Row],[Kunta]]</f>
        <v/>
      </c>
      <c r="M96" t="str">
        <f>Koontitaulukko10[[#This Row],[Vesilaitoksen nimi]]</f>
        <v/>
      </c>
      <c r="N96" s="73" t="str">
        <f>Koontitaulukko10[[#This Row],[Vastauspvm]]</f>
        <v/>
      </c>
      <c r="O96" s="73"/>
    </row>
    <row r="97" spans="1:15" hidden="1" x14ac:dyDescent="0.25">
      <c r="A97" t="str">
        <f>Koontitaulukko10[[#This Row],[Kuuluuko kriteeri kyseisen laitoksen vastattavaksi]]</f>
        <v>Ei kuulu</v>
      </c>
      <c r="B97" t="str">
        <f>Koontitaulukko10[[#This Row],[Extra-kysymys]]</f>
        <v/>
      </c>
      <c r="C97" t="str">
        <f>Koontitaulukko10[[#This Row],[Kriteerin kokoluokka]]</f>
        <v>1,2,3,4</v>
      </c>
      <c r="D97" t="str">
        <f>Koontitaulukko10[[#This Row],[Kriteerin toimiala]]</f>
        <v>A,B,C,D</v>
      </c>
      <c r="E97" t="str">
        <f>Koontitaulukko10[[#This Row],[Pääkategoria]]</f>
        <v>Kustannustehokas ja organisoitu</v>
      </c>
      <c r="F97" t="str">
        <f>Koontitaulukko10[[#This Row],[Alakategoria]]</f>
        <v>8. Käyttötalouden hallinta ja hankinnat ovat suunniteltuja, tehostettuja ja läpinäkyviä.</v>
      </c>
      <c r="G97" t="str">
        <f>Koontitaulukko10[[#This Row],[Arviointikriteeri]]</f>
        <v>8.1 Vesihuoltolaitoksen hyödykkeiden kulutusta seurataan. Hyödykkeellä tarkoitetaan vesilaitoksen toiminnassaan käyttämiä aineita, tarvikkeita tai palveluita, kuten esim. kemikaaleja, sähköä, rakentamispalvelua tms.</v>
      </c>
      <c r="H97" t="str">
        <f>Koontitaulukko10[[#This Row],[Huoltovarmuus]]</f>
        <v>Ei</v>
      </c>
      <c r="I97" t="str">
        <f>Koontitaulukko10[[#This Row],[Vastaus ]]</f>
        <v/>
      </c>
      <c r="J97">
        <f>Koontitaulukko10[[#This Row],[Vastaajan kokoluokka]]</f>
        <v>0</v>
      </c>
      <c r="K97" t="str">
        <f>Koontitaulukko10[[#This Row],[Vastaajan toimiala]]</f>
        <v/>
      </c>
      <c r="L97" t="str">
        <f>Koontitaulukko10[[#This Row],[Kunta]]</f>
        <v/>
      </c>
      <c r="M97" t="str">
        <f>Koontitaulukko10[[#This Row],[Vesilaitoksen nimi]]</f>
        <v/>
      </c>
      <c r="N97" s="73" t="str">
        <f>Koontitaulukko10[[#This Row],[Vastauspvm]]</f>
        <v/>
      </c>
      <c r="O97" s="73"/>
    </row>
    <row r="98" spans="1:15" x14ac:dyDescent="0.25">
      <c r="A98" t="str">
        <f>Koontitaulukko10[[#This Row],[Kuuluuko kriteeri kyseisen laitoksen vastattavaksi]]</f>
        <v>Ei kuulu</v>
      </c>
      <c r="B98" t="str">
        <f>Koontitaulukko10[[#This Row],[Extra-kysymys]]</f>
        <v/>
      </c>
      <c r="C98" t="str">
        <f>Koontitaulukko10[[#This Row],[Kriteerin kokoluokka]]</f>
        <v>1,2,3,4</v>
      </c>
      <c r="D98" t="str">
        <f>Koontitaulukko10[[#This Row],[Kriteerin toimiala]]</f>
        <v>A,B,C,D</v>
      </c>
      <c r="E98" t="str">
        <f>Koontitaulukko10[[#This Row],[Pääkategoria]]</f>
        <v>Kustannustehokas ja organisoitu</v>
      </c>
      <c r="F98" t="str">
        <f>Koontitaulukko10[[#This Row],[Alakategoria]]</f>
        <v>8. Käyttötalouden hallinta ja hankinnat ovat suunniteltuja, tehostettuja ja läpinäkyviä.</v>
      </c>
      <c r="G98" t="str">
        <f>Koontitaulukko10[[#This Row],[Arviointikriteeri]]</f>
        <v xml:space="preserve">8.2 Vesihuoltolaitoksen kustannuksia seurataan ja käyttötaloutta tehostetaan aktiivisesti. </v>
      </c>
      <c r="H98" t="str">
        <f>Koontitaulukko10[[#This Row],[Huoltovarmuus]]</f>
        <v>Ei</v>
      </c>
      <c r="I98" t="str">
        <f>Koontitaulukko10[[#This Row],[Vastaus ]]</f>
        <v/>
      </c>
      <c r="J98">
        <f>Koontitaulukko10[[#This Row],[Vastaajan kokoluokka]]</f>
        <v>0</v>
      </c>
      <c r="K98" t="str">
        <f>Koontitaulukko10[[#This Row],[Vastaajan toimiala]]</f>
        <v/>
      </c>
      <c r="L98" t="str">
        <f>Koontitaulukko10[[#This Row],[Kunta]]</f>
        <v/>
      </c>
      <c r="M98" t="str">
        <f>Koontitaulukko10[[#This Row],[Vesilaitoksen nimi]]</f>
        <v/>
      </c>
      <c r="N98" s="73" t="str">
        <f>Koontitaulukko10[[#This Row],[Vastauspvm]]</f>
        <v/>
      </c>
      <c r="O98" s="73"/>
    </row>
    <row r="99" spans="1:15" x14ac:dyDescent="0.25">
      <c r="A99" t="str">
        <f>Koontitaulukko10[[#This Row],[Kuuluuko kriteeri kyseisen laitoksen vastattavaksi]]</f>
        <v>Ei kuulu</v>
      </c>
      <c r="B99" t="str">
        <f>Koontitaulukko10[[#This Row],[Extra-kysymys]]</f>
        <v/>
      </c>
      <c r="C99" t="str">
        <f>Koontitaulukko10[[#This Row],[Kriteerin kokoluokka]]</f>
        <v>1,2,3,4</v>
      </c>
      <c r="D99" t="str">
        <f>Koontitaulukko10[[#This Row],[Kriteerin toimiala]]</f>
        <v>A,B,C,D</v>
      </c>
      <c r="E99" t="str">
        <f>Koontitaulukko10[[#This Row],[Pääkategoria]]</f>
        <v>Kustannustehokas ja organisoitu</v>
      </c>
      <c r="F99" t="str">
        <f>Koontitaulukko10[[#This Row],[Alakategoria]]</f>
        <v>8. Käyttötalouden hallinta ja hankinnat ovat suunniteltuja, tehostettuja ja läpinäkyviä.</v>
      </c>
      <c r="G99" t="str">
        <f>Koontitaulukko10[[#This Row],[Arviointikriteeri]]</f>
        <v xml:space="preserve">8.3 Vesihuoltolaitoksella tai kunnalla on vesihuoltolaitosta koskevat hankintaohjeet. Hankinnoissa otetaan tarkoituksenmukaisesti huomioon laatu- ja hintakriteerit. </v>
      </c>
      <c r="H99" t="str">
        <f>Koontitaulukko10[[#This Row],[Huoltovarmuus]]</f>
        <v>Ei</v>
      </c>
      <c r="I99" t="str">
        <f>Koontitaulukko10[[#This Row],[Vastaus ]]</f>
        <v/>
      </c>
      <c r="J99">
        <f>Koontitaulukko10[[#This Row],[Vastaajan kokoluokka]]</f>
        <v>0</v>
      </c>
      <c r="K99" t="str">
        <f>Koontitaulukko10[[#This Row],[Vastaajan toimiala]]</f>
        <v/>
      </c>
      <c r="L99" t="str">
        <f>Koontitaulukko10[[#This Row],[Kunta]]</f>
        <v/>
      </c>
      <c r="M99" t="str">
        <f>Koontitaulukko10[[#This Row],[Vesilaitoksen nimi]]</f>
        <v/>
      </c>
      <c r="N99" s="73" t="str">
        <f>Koontitaulukko10[[#This Row],[Vastauspvm]]</f>
        <v/>
      </c>
      <c r="O99" s="73"/>
    </row>
    <row r="100" spans="1:15" x14ac:dyDescent="0.25">
      <c r="A100" t="str">
        <f>Koontitaulukko10[[#This Row],[Kuuluuko kriteeri kyseisen laitoksen vastattavaksi]]</f>
        <v>Ei kuulu</v>
      </c>
      <c r="B100" t="str">
        <f>Koontitaulukko10[[#This Row],[Extra-kysymys]]</f>
        <v/>
      </c>
      <c r="C100" t="str">
        <f>Koontitaulukko10[[#This Row],[Kriteerin kokoluokka]]</f>
        <v>2,3,4</v>
      </c>
      <c r="D100" t="str">
        <f>Koontitaulukko10[[#This Row],[Kriteerin toimiala]]</f>
        <v>A,B,C,D</v>
      </c>
      <c r="E100" t="str">
        <f>Koontitaulukko10[[#This Row],[Pääkategoria]]</f>
        <v>Kustannustehokas ja organisoitu</v>
      </c>
      <c r="F100" t="str">
        <f>Koontitaulukko10[[#This Row],[Alakategoria]]</f>
        <v>8. Käyttötalouden hallinta ja hankinnat ovat suunniteltuja, tehostettuja ja läpinäkyviä.</v>
      </c>
      <c r="G100" t="str">
        <f>Koontitaulukko10[[#This Row],[Arviointikriteeri]]</f>
        <v>8.4 Vesihuoltolaitoksen henkilöstö on saanut koulutusta hankintojen ja palvelujen kilpailutukseen ja sopimuksiin sekä palvelujen ja toimitusten valvontaan.</v>
      </c>
      <c r="H100" t="str">
        <f>Koontitaulukko10[[#This Row],[Huoltovarmuus]]</f>
        <v>Ei</v>
      </c>
      <c r="I100" t="str">
        <f>Koontitaulukko10[[#This Row],[Vastaus ]]</f>
        <v/>
      </c>
      <c r="J100">
        <f>Koontitaulukko10[[#This Row],[Vastaajan kokoluokka]]</f>
        <v>0</v>
      </c>
      <c r="K100" t="str">
        <f>Koontitaulukko10[[#This Row],[Vastaajan toimiala]]</f>
        <v/>
      </c>
      <c r="L100" t="str">
        <f>Koontitaulukko10[[#This Row],[Kunta]]</f>
        <v/>
      </c>
      <c r="M100" t="str">
        <f>Koontitaulukko10[[#This Row],[Vesilaitoksen nimi]]</f>
        <v/>
      </c>
      <c r="N100" s="73" t="str">
        <f>Koontitaulukko10[[#This Row],[Vastauspvm]]</f>
        <v/>
      </c>
      <c r="O100" s="73"/>
    </row>
    <row r="101" spans="1:15" x14ac:dyDescent="0.25">
      <c r="A101" t="str">
        <f>Koontitaulukko10[[#This Row],[Kuuluuko kriteeri kyseisen laitoksen vastattavaksi]]</f>
        <v>Ei kuulu</v>
      </c>
      <c r="B101" t="str">
        <f>Koontitaulukko10[[#This Row],[Extra-kysymys]]</f>
        <v/>
      </c>
      <c r="C101" t="str">
        <f>Koontitaulukko10[[#This Row],[Kriteerin kokoluokka]]</f>
        <v>2,3,4</v>
      </c>
      <c r="D101" t="str">
        <f>Koontitaulukko10[[#This Row],[Kriteerin toimiala]]</f>
        <v>A,B,C,D</v>
      </c>
      <c r="E101" t="str">
        <f>Koontitaulukko10[[#This Row],[Pääkategoria]]</f>
        <v>Kustannustehokas ja organisoitu</v>
      </c>
      <c r="F101" t="str">
        <f>Koontitaulukko10[[#This Row],[Alakategoria]]</f>
        <v>8. Käyttötalouden hallinta ja hankinnat ovat suunniteltuja, tehostettuja ja läpinäkyviä.</v>
      </c>
      <c r="G101" t="str">
        <f>Koontitaulukko10[[#This Row],[Arviointikriteeri]]</f>
        <v xml:space="preserve">8.5 Vesihuoltolaitoksella on puitesopimukset keskeisten tavaroiden ja palveluiden hankinnan osalta. </v>
      </c>
      <c r="H101" t="str">
        <f>Koontitaulukko10[[#This Row],[Huoltovarmuus]]</f>
        <v>Ei</v>
      </c>
      <c r="I101" t="str">
        <f>Koontitaulukko10[[#This Row],[Vastaus ]]</f>
        <v/>
      </c>
      <c r="J101">
        <f>Koontitaulukko10[[#This Row],[Vastaajan kokoluokka]]</f>
        <v>0</v>
      </c>
      <c r="K101" t="str">
        <f>Koontitaulukko10[[#This Row],[Vastaajan toimiala]]</f>
        <v/>
      </c>
      <c r="L101" t="str">
        <f>Koontitaulukko10[[#This Row],[Kunta]]</f>
        <v/>
      </c>
      <c r="M101" t="str">
        <f>Koontitaulukko10[[#This Row],[Vesilaitoksen nimi]]</f>
        <v/>
      </c>
      <c r="N101" s="73" t="str">
        <f>Koontitaulukko10[[#This Row],[Vastauspvm]]</f>
        <v/>
      </c>
      <c r="O101" s="73"/>
    </row>
    <row r="102" spans="1:15" x14ac:dyDescent="0.25">
      <c r="A102" t="str">
        <f>Koontitaulukko10[[#This Row],[Kuuluuko kriteeri kyseisen laitoksen vastattavaksi]]</f>
        <v>Ei kuulu</v>
      </c>
      <c r="B102" t="str">
        <f>Koontitaulukko10[[#This Row],[Extra-kysymys]]</f>
        <v/>
      </c>
      <c r="C102" t="str">
        <f>Koontitaulukko10[[#This Row],[Kriteerin kokoluokka]]</f>
        <v>2,3,4</v>
      </c>
      <c r="D102" t="str">
        <f>Koontitaulukko10[[#This Row],[Kriteerin toimiala]]</f>
        <v>A,B,C,D</v>
      </c>
      <c r="E102" t="str">
        <f>Koontitaulukko10[[#This Row],[Pääkategoria]]</f>
        <v>Kustannustehokas ja organisoitu</v>
      </c>
      <c r="F102" t="str">
        <f>Koontitaulukko10[[#This Row],[Alakategoria]]</f>
        <v>8. Käyttötalouden hallinta ja hankinnat ovat suunniteltuja, tehostettuja ja läpinäkyviä.</v>
      </c>
      <c r="G102" t="str">
        <f>Koontitaulukko10[[#This Row],[Arviointikriteeri]]</f>
        <v>8.6 Vesihuoltolaitos kerää ja käyttää tunnuslukutietoa systemaattisesti ja vertailee toimintaansa kokoluokan ja lähialueen muihin vastaaviin toimijoihin.</v>
      </c>
      <c r="H102" t="str">
        <f>Koontitaulukko10[[#This Row],[Huoltovarmuus]]</f>
        <v>Ei</v>
      </c>
      <c r="I102" t="str">
        <f>Koontitaulukko10[[#This Row],[Vastaus ]]</f>
        <v/>
      </c>
      <c r="J102">
        <f>Koontitaulukko10[[#This Row],[Vastaajan kokoluokka]]</f>
        <v>0</v>
      </c>
      <c r="K102" t="str">
        <f>Koontitaulukko10[[#This Row],[Vastaajan toimiala]]</f>
        <v/>
      </c>
      <c r="L102" t="str">
        <f>Koontitaulukko10[[#This Row],[Kunta]]</f>
        <v/>
      </c>
      <c r="M102" t="str">
        <f>Koontitaulukko10[[#This Row],[Vesilaitoksen nimi]]</f>
        <v/>
      </c>
      <c r="N102" s="73" t="str">
        <f>Koontitaulukko10[[#This Row],[Vastauspvm]]</f>
        <v/>
      </c>
      <c r="O102" s="73"/>
    </row>
    <row r="103" spans="1:15" x14ac:dyDescent="0.25">
      <c r="A103" t="str">
        <f>Koontitaulukko10[[#This Row],[Kuuluuko kriteeri kyseisen laitoksen vastattavaksi]]</f>
        <v>Ei kuulu</v>
      </c>
      <c r="B103" t="str">
        <f>Koontitaulukko10[[#This Row],[Extra-kysymys]]</f>
        <v/>
      </c>
      <c r="C103">
        <f>Koontitaulukko10[[#This Row],[Kriteerin kokoluokka]]</f>
        <v>3.4</v>
      </c>
      <c r="D103" t="str">
        <f>Koontitaulukko10[[#This Row],[Kriteerin toimiala]]</f>
        <v>A,B,C,D</v>
      </c>
      <c r="E103" t="str">
        <f>Koontitaulukko10[[#This Row],[Pääkategoria]]</f>
        <v>Kustannustehokas ja organisoitu</v>
      </c>
      <c r="F103" t="str">
        <f>Koontitaulukko10[[#This Row],[Alakategoria]]</f>
        <v>8. Käyttötalouden hallinta ja hankinnat ovat suunniteltuja, tehostettuja ja läpinäkyviä.</v>
      </c>
      <c r="G103" t="str">
        <f>Koontitaulukko10[[#This Row],[Arviointikriteeri]]</f>
        <v xml:space="preserve">8.7 Vesihuoltolaitoksen käyttökustannusten (esim. kemikaalien), käyttöhenkilökunnan, kunnossapidon ja ulkoisten palvelujen kustannukset ovat kohdennettavissa laitoksen toimintakentän mukaisesti vesihuoltoverkostoille, talousvedenkäsittelylle, jätevedenpuhdistukselle ja lietteenkäsittelylle. </v>
      </c>
      <c r="H103" t="str">
        <f>Koontitaulukko10[[#This Row],[Huoltovarmuus]]</f>
        <v>Ei</v>
      </c>
      <c r="I103" t="str">
        <f>Koontitaulukko10[[#This Row],[Vastaus ]]</f>
        <v/>
      </c>
      <c r="J103">
        <f>Koontitaulukko10[[#This Row],[Vastaajan kokoluokka]]</f>
        <v>0</v>
      </c>
      <c r="K103" t="str">
        <f>Koontitaulukko10[[#This Row],[Vastaajan toimiala]]</f>
        <v/>
      </c>
      <c r="L103" t="str">
        <f>Koontitaulukko10[[#This Row],[Kunta]]</f>
        <v/>
      </c>
      <c r="M103" t="str">
        <f>Koontitaulukko10[[#This Row],[Vesilaitoksen nimi]]</f>
        <v/>
      </c>
      <c r="N103" s="73" t="str">
        <f>Koontitaulukko10[[#This Row],[Vastauspvm]]</f>
        <v/>
      </c>
      <c r="O103" s="73"/>
    </row>
    <row r="104" spans="1:15" x14ac:dyDescent="0.25">
      <c r="A104" t="str">
        <f>Koontitaulukko10[[#This Row],[Kuuluuko kriteeri kyseisen laitoksen vastattavaksi]]</f>
        <v>Ei kuulu</v>
      </c>
      <c r="B104" t="str">
        <f>Koontitaulukko10[[#This Row],[Extra-kysymys]]</f>
        <v/>
      </c>
      <c r="C104">
        <f>Koontitaulukko10[[#This Row],[Kriteerin kokoluokka]]</f>
        <v>5</v>
      </c>
      <c r="D104" t="str">
        <f>Koontitaulukko10[[#This Row],[Kriteerin toimiala]]</f>
        <v>A,B,C,D</v>
      </c>
      <c r="E104" t="str">
        <f>Koontitaulukko10[[#This Row],[Pääkategoria]]</f>
        <v>Kustannustehokas ja organisoitu</v>
      </c>
      <c r="F104" t="str">
        <f>Koontitaulukko10[[#This Row],[Alakategoria]]</f>
        <v>8. Käyttötalouden hallinta ja hankinnat ovat suunniteltuja, tehostettuja ja läpinäkyviä.</v>
      </c>
      <c r="G104" t="str">
        <f>Koontitaulukko10[[#This Row],[Arviointikriteeri]]</f>
        <v>8.8 Vesihuoltolaitoksen hankintakriteereihin sisältyvät sosiaalinen ja ympäristövastuullisuus</v>
      </c>
      <c r="H104" t="str">
        <f>Koontitaulukko10[[#This Row],[Huoltovarmuus]]</f>
        <v>Ei</v>
      </c>
      <c r="I104" t="str">
        <f>Koontitaulukko10[[#This Row],[Vastaus ]]</f>
        <v/>
      </c>
      <c r="J104">
        <f>Koontitaulukko10[[#This Row],[Vastaajan kokoluokka]]</f>
        <v>0</v>
      </c>
      <c r="K104" t="str">
        <f>Koontitaulukko10[[#This Row],[Vastaajan toimiala]]</f>
        <v/>
      </c>
      <c r="L104" t="str">
        <f>Koontitaulukko10[[#This Row],[Kunta]]</f>
        <v/>
      </c>
      <c r="M104" t="str">
        <f>Koontitaulukko10[[#This Row],[Vesilaitoksen nimi]]</f>
        <v/>
      </c>
      <c r="N104" s="73" t="str">
        <f>Koontitaulukko10[[#This Row],[Vastauspvm]]</f>
        <v/>
      </c>
      <c r="O104" s="73"/>
    </row>
    <row r="105" spans="1:15" x14ac:dyDescent="0.25">
      <c r="A105" t="str">
        <f>Koontitaulukko10[[#This Row],[Kuuluuko kriteeri kyseisen laitoksen vastattavaksi]]</f>
        <v>Ei kuulu</v>
      </c>
      <c r="B105" t="str">
        <f>Koontitaulukko10[[#This Row],[Extra-kysymys]]</f>
        <v/>
      </c>
      <c r="C105" t="str">
        <f>Koontitaulukko10[[#This Row],[Kriteerin kokoluokka]]</f>
        <v xml:space="preserve">1,2,3,4 </v>
      </c>
      <c r="D105" t="str">
        <f>Koontitaulukko10[[#This Row],[Kriteerin toimiala]]</f>
        <v>A,B,C,D</v>
      </c>
      <c r="E105" t="str">
        <f>Koontitaulukko10[[#This Row],[Pääkategoria]]</f>
        <v>Kestävä ja kehittyvä</v>
      </c>
      <c r="F105" t="str">
        <f>Koontitaulukko10[[#This Row],[Alakategoria]]</f>
        <v>_Otsikkorivi</v>
      </c>
      <c r="G105" t="str">
        <f>Koontitaulukko10[[#This Row],[Arviointikriteeri]]</f>
        <v>9. Jätevesien käsittelyn ja johtamisen ympäristökuormitus minimoidaan</v>
      </c>
      <c r="H105" t="str">
        <f>Koontitaulukko10[[#This Row],[Huoltovarmuus]]</f>
        <v>Ei</v>
      </c>
      <c r="I105" t="str">
        <f>Koontitaulukko10[[#This Row],[Vastaus ]]</f>
        <v/>
      </c>
      <c r="J105">
        <f>Koontitaulukko10[[#This Row],[Vastaajan kokoluokka]]</f>
        <v>0</v>
      </c>
      <c r="K105" t="str">
        <f>Koontitaulukko10[[#This Row],[Vastaajan toimiala]]</f>
        <v/>
      </c>
      <c r="L105" t="str">
        <f>Koontitaulukko10[[#This Row],[Kunta]]</f>
        <v/>
      </c>
      <c r="M105" t="str">
        <f>Koontitaulukko10[[#This Row],[Vesilaitoksen nimi]]</f>
        <v/>
      </c>
      <c r="N105" s="73" t="str">
        <f>Koontitaulukko10[[#This Row],[Vastauspvm]]</f>
        <v/>
      </c>
      <c r="O105" s="73"/>
    </row>
    <row r="106" spans="1:15" hidden="1" x14ac:dyDescent="0.25">
      <c r="A106" t="str">
        <f>Koontitaulukko10[[#This Row],[Kuuluuko kriteeri kyseisen laitoksen vastattavaksi]]</f>
        <v>Ei kuulu</v>
      </c>
      <c r="B106" t="str">
        <f>Koontitaulukko10[[#This Row],[Extra-kysymys]]</f>
        <v/>
      </c>
      <c r="C106" t="str">
        <f>Koontitaulukko10[[#This Row],[Kriteerin kokoluokka]]</f>
        <v>1,2,3,4</v>
      </c>
      <c r="D106" t="str">
        <f>Koontitaulukko10[[#This Row],[Kriteerin toimiala]]</f>
        <v>C</v>
      </c>
      <c r="E106" t="str">
        <f>Koontitaulukko10[[#This Row],[Pääkategoria]]</f>
        <v>Kestävä ja kehittyvä</v>
      </c>
      <c r="F106" t="str">
        <f>Koontitaulukko10[[#This Row],[Alakategoria]]</f>
        <v>9. Jätevesien käsittelyn ja johtamisen ympäristökuormitus minimoidaan</v>
      </c>
      <c r="G106" t="str">
        <f>Koontitaulukko10[[#This Row],[Arviointikriteeri]]</f>
        <v>9.1 Jätevesiverkoston vuotovesiprosentti &lt; 30 %</v>
      </c>
      <c r="H106" t="str">
        <f>Koontitaulukko10[[#This Row],[Huoltovarmuus]]</f>
        <v>Kyllä</v>
      </c>
      <c r="I106" t="str">
        <f>Koontitaulukko10[[#This Row],[Vastaus ]]</f>
        <v/>
      </c>
      <c r="J106">
        <f>Koontitaulukko10[[#This Row],[Vastaajan kokoluokka]]</f>
        <v>0</v>
      </c>
      <c r="K106" t="str">
        <f>Koontitaulukko10[[#This Row],[Vastaajan toimiala]]</f>
        <v/>
      </c>
      <c r="L106" t="str">
        <f>Koontitaulukko10[[#This Row],[Kunta]]</f>
        <v/>
      </c>
      <c r="M106" t="str">
        <f>Koontitaulukko10[[#This Row],[Vesilaitoksen nimi]]</f>
        <v/>
      </c>
      <c r="N106" s="73" t="str">
        <f>Koontitaulukko10[[#This Row],[Vastauspvm]]</f>
        <v/>
      </c>
      <c r="O106" s="73"/>
    </row>
    <row r="107" spans="1:15" x14ac:dyDescent="0.25">
      <c r="A107" t="str">
        <f>Koontitaulukko10[[#This Row],[Kuuluuko kriteeri kyseisen laitoksen vastattavaksi]]</f>
        <v>Ei kuulu</v>
      </c>
      <c r="B107" t="str">
        <f>Koontitaulukko10[[#This Row],[Extra-kysymys]]</f>
        <v/>
      </c>
      <c r="C107" t="str">
        <f>Koontitaulukko10[[#This Row],[Kriteerin kokoluokka]]</f>
        <v>1,2,3,4</v>
      </c>
      <c r="D107" t="str">
        <f>Koontitaulukko10[[#This Row],[Kriteerin toimiala]]</f>
        <v>C</v>
      </c>
      <c r="E107" t="str">
        <f>Koontitaulukko10[[#This Row],[Pääkategoria]]</f>
        <v>Kestävä ja kehittyvä</v>
      </c>
      <c r="F107" t="str">
        <f>Koontitaulukko10[[#This Row],[Alakategoria]]</f>
        <v>9. Jätevesien käsittelyn ja johtamisen ympäristökuormitus minimoidaan</v>
      </c>
      <c r="G107" t="str">
        <f>Koontitaulukko10[[#This Row],[Arviointikriteeri]]</f>
        <v>9.2 Viemäritukosten määrä &lt; 5 kpl/100 km/v</v>
      </c>
      <c r="H107" t="str">
        <f>Koontitaulukko10[[#This Row],[Huoltovarmuus]]</f>
        <v>Kyllä</v>
      </c>
      <c r="I107" t="str">
        <f>Koontitaulukko10[[#This Row],[Vastaus ]]</f>
        <v/>
      </c>
      <c r="J107">
        <f>Koontitaulukko10[[#This Row],[Vastaajan kokoluokka]]</f>
        <v>0</v>
      </c>
      <c r="K107" t="str">
        <f>Koontitaulukko10[[#This Row],[Vastaajan toimiala]]</f>
        <v/>
      </c>
      <c r="L107" t="str">
        <f>Koontitaulukko10[[#This Row],[Kunta]]</f>
        <v/>
      </c>
      <c r="M107" t="str">
        <f>Koontitaulukko10[[#This Row],[Vesilaitoksen nimi]]</f>
        <v/>
      </c>
      <c r="N107" s="73" t="str">
        <f>Koontitaulukko10[[#This Row],[Vastauspvm]]</f>
        <v/>
      </c>
      <c r="O107" s="73"/>
    </row>
    <row r="108" spans="1:15" x14ac:dyDescent="0.25">
      <c r="A108" t="str">
        <f>Koontitaulukko10[[#This Row],[Kuuluuko kriteeri kyseisen laitoksen vastattavaksi]]</f>
        <v>Ei kuulu</v>
      </c>
      <c r="B108" t="str">
        <f>Koontitaulukko10[[#This Row],[Extra-kysymys]]</f>
        <v/>
      </c>
      <c r="C108" t="str">
        <f>Koontitaulukko10[[#This Row],[Kriteerin kokoluokka]]</f>
        <v>1,2,3,4</v>
      </c>
      <c r="D108" t="str">
        <f>Koontitaulukko10[[#This Row],[Kriteerin toimiala]]</f>
        <v>D</v>
      </c>
      <c r="E108" t="str">
        <f>Koontitaulukko10[[#This Row],[Pääkategoria]]</f>
        <v>Kestävä ja kehittyvä</v>
      </c>
      <c r="F108" t="str">
        <f>Koontitaulukko10[[#This Row],[Alakategoria]]</f>
        <v>9. Jätevesien käsittelyn ja johtamisen ympäristökuormitus minimoidaan</v>
      </c>
      <c r="G108" t="str">
        <f>Koontitaulukko10[[#This Row],[Arviointikriteeri]]</f>
        <v>9.3 Laitosohitusten määrä jätevedestä &lt; 0,5 %</v>
      </c>
      <c r="H108" t="str">
        <f>Koontitaulukko10[[#This Row],[Huoltovarmuus]]</f>
        <v>Kyllä</v>
      </c>
      <c r="I108" t="str">
        <f>Koontitaulukko10[[#This Row],[Vastaus ]]</f>
        <v/>
      </c>
      <c r="J108">
        <f>Koontitaulukko10[[#This Row],[Vastaajan kokoluokka]]</f>
        <v>0</v>
      </c>
      <c r="K108" t="str">
        <f>Koontitaulukko10[[#This Row],[Vastaajan toimiala]]</f>
        <v/>
      </c>
      <c r="L108" t="str">
        <f>Koontitaulukko10[[#This Row],[Kunta]]</f>
        <v/>
      </c>
      <c r="M108" t="str">
        <f>Koontitaulukko10[[#This Row],[Vesilaitoksen nimi]]</f>
        <v/>
      </c>
      <c r="N108" s="73" t="str">
        <f>Koontitaulukko10[[#This Row],[Vastauspvm]]</f>
        <v/>
      </c>
      <c r="O108" s="73"/>
    </row>
    <row r="109" spans="1:15" x14ac:dyDescent="0.25">
      <c r="A109" t="str">
        <f>Koontitaulukko10[[#This Row],[Kuuluuko kriteeri kyseisen laitoksen vastattavaksi]]</f>
        <v>Ei kuulu</v>
      </c>
      <c r="B109" t="str">
        <f>Koontitaulukko10[[#This Row],[Extra-kysymys]]</f>
        <v/>
      </c>
      <c r="C109" t="str">
        <f>Koontitaulukko10[[#This Row],[Kriteerin kokoluokka]]</f>
        <v>1,2,3,4</v>
      </c>
      <c r="D109" t="str">
        <f>Koontitaulukko10[[#This Row],[Kriteerin toimiala]]</f>
        <v>C</v>
      </c>
      <c r="E109" t="str">
        <f>Koontitaulukko10[[#This Row],[Pääkategoria]]</f>
        <v>Kestävä ja kehittyvä</v>
      </c>
      <c r="F109" t="str">
        <f>Koontitaulukko10[[#This Row],[Alakategoria]]</f>
        <v>9. Jätevesien käsittelyn ja johtamisen ympäristökuormitus minimoidaan</v>
      </c>
      <c r="G109" t="str">
        <f>Koontitaulukko10[[#This Row],[Arviointikriteeri]]</f>
        <v xml:space="preserve">9.4 Viemäritulvien määrä on &lt; 0,5 kpl/100 km/v. Tulvalla tarkoitetaan, että jätevesi nousee kiinteistöihin liian suuren vesimäärän vuoksi. 1 kiinteistö = 1 tulva. Kiinteistön omista laitteistoista tai padotuskorkeuden alapuolisesta viemäröinnistä johtuvia tulvia ei lasketa mukaan. </v>
      </c>
      <c r="H109" t="str">
        <f>Koontitaulukko10[[#This Row],[Huoltovarmuus]]</f>
        <v>Ei</v>
      </c>
      <c r="I109" t="str">
        <f>Koontitaulukko10[[#This Row],[Vastaus ]]</f>
        <v/>
      </c>
      <c r="J109">
        <f>Koontitaulukko10[[#This Row],[Vastaajan kokoluokka]]</f>
        <v>0</v>
      </c>
      <c r="K109" t="str">
        <f>Koontitaulukko10[[#This Row],[Vastaajan toimiala]]</f>
        <v/>
      </c>
      <c r="L109" t="str">
        <f>Koontitaulukko10[[#This Row],[Kunta]]</f>
        <v/>
      </c>
      <c r="M109" t="str">
        <f>Koontitaulukko10[[#This Row],[Vesilaitoksen nimi]]</f>
        <v/>
      </c>
      <c r="N109" s="73" t="str">
        <f>Koontitaulukko10[[#This Row],[Vastauspvm]]</f>
        <v/>
      </c>
      <c r="O109" s="73"/>
    </row>
    <row r="110" spans="1:15" x14ac:dyDescent="0.25">
      <c r="A110" t="str">
        <f>Koontitaulukko10[[#This Row],[Kuuluuko kriteeri kyseisen laitoksen vastattavaksi]]</f>
        <v>Ei kuulu</v>
      </c>
      <c r="B110" t="str">
        <f>Koontitaulukko10[[#This Row],[Extra-kysymys]]</f>
        <v/>
      </c>
      <c r="C110" t="str">
        <f>Koontitaulukko10[[#This Row],[Kriteerin kokoluokka]]</f>
        <v>2,3,4</v>
      </c>
      <c r="D110" t="str">
        <f>Koontitaulukko10[[#This Row],[Kriteerin toimiala]]</f>
        <v>C</v>
      </c>
      <c r="E110" t="str">
        <f>Koontitaulukko10[[#This Row],[Pääkategoria]]</f>
        <v>Kestävä ja kehittyvä</v>
      </c>
      <c r="F110" t="str">
        <f>Koontitaulukko10[[#This Row],[Alakategoria]]</f>
        <v>9. Jätevesien käsittelyn ja johtamisen ympäristökuormitus minimoidaan</v>
      </c>
      <c r="G110" t="str">
        <f>Koontitaulukko10[[#This Row],[Arviointikriteeri]]</f>
        <v xml:space="preserve">9.5 Vesihuoltolaitoksen sekaviemäröinnin vähentämisestä on tehty suunnitelma ja sitä vähennetään vuosittain </v>
      </c>
      <c r="H110" t="str">
        <f>Koontitaulukko10[[#This Row],[Huoltovarmuus]]</f>
        <v>Kyllä</v>
      </c>
      <c r="I110" t="str">
        <f>Koontitaulukko10[[#This Row],[Vastaus ]]</f>
        <v/>
      </c>
      <c r="J110">
        <f>Koontitaulukko10[[#This Row],[Vastaajan kokoluokka]]</f>
        <v>0</v>
      </c>
      <c r="K110" t="str">
        <f>Koontitaulukko10[[#This Row],[Vastaajan toimiala]]</f>
        <v/>
      </c>
      <c r="L110" t="str">
        <f>Koontitaulukko10[[#This Row],[Kunta]]</f>
        <v/>
      </c>
      <c r="M110" t="str">
        <f>Koontitaulukko10[[#This Row],[Vesilaitoksen nimi]]</f>
        <v/>
      </c>
      <c r="N110" s="73" t="str">
        <f>Koontitaulukko10[[#This Row],[Vastauspvm]]</f>
        <v/>
      </c>
      <c r="O110" s="73"/>
    </row>
    <row r="111" spans="1:15" x14ac:dyDescent="0.25">
      <c r="A111" t="str">
        <f>Koontitaulukko10[[#This Row],[Kuuluuko kriteeri kyseisen laitoksen vastattavaksi]]</f>
        <v>Ei kuulu</v>
      </c>
      <c r="B111" t="str">
        <f>Koontitaulukko10[[#This Row],[Extra-kysymys]]</f>
        <v/>
      </c>
      <c r="C111">
        <f>Koontitaulukko10[[#This Row],[Kriteerin kokoluokka]]</f>
        <v>3.4</v>
      </c>
      <c r="D111" t="str">
        <f>Koontitaulukko10[[#This Row],[Kriteerin toimiala]]</f>
        <v>C</v>
      </c>
      <c r="E111" t="str">
        <f>Koontitaulukko10[[#This Row],[Pääkategoria]]</f>
        <v>Kestävä ja kehittyvä</v>
      </c>
      <c r="F111" t="str">
        <f>Koontitaulukko10[[#This Row],[Alakategoria]]</f>
        <v>9. Jätevesien käsittelyn ja johtamisen ympäristökuormitus minimoidaan</v>
      </c>
      <c r="G111" t="str">
        <f>Koontitaulukko10[[#This Row],[Arviointikriteeri]]</f>
        <v xml:space="preserve">9.6 Vesihuoltolaitoksen viemäriverkoston vuotoja mitataan ja seurataan ja vuotavuusprosentti on määritelty soveltuvin osin pumppaamo- ja verkostoalueittain.  </v>
      </c>
      <c r="H111" t="str">
        <f>Koontitaulukko10[[#This Row],[Huoltovarmuus]]</f>
        <v>Ei</v>
      </c>
      <c r="I111" t="str">
        <f>Koontitaulukko10[[#This Row],[Vastaus ]]</f>
        <v/>
      </c>
      <c r="J111">
        <f>Koontitaulukko10[[#This Row],[Vastaajan kokoluokka]]</f>
        <v>0</v>
      </c>
      <c r="K111" t="str">
        <f>Koontitaulukko10[[#This Row],[Vastaajan toimiala]]</f>
        <v/>
      </c>
      <c r="L111" t="str">
        <f>Koontitaulukko10[[#This Row],[Kunta]]</f>
        <v/>
      </c>
      <c r="M111" t="str">
        <f>Koontitaulukko10[[#This Row],[Vesilaitoksen nimi]]</f>
        <v/>
      </c>
      <c r="N111" s="73" t="str">
        <f>Koontitaulukko10[[#This Row],[Vastauspvm]]</f>
        <v/>
      </c>
      <c r="O111" s="73"/>
    </row>
    <row r="112" spans="1:15" x14ac:dyDescent="0.25">
      <c r="A112" t="str">
        <f>Koontitaulukko10[[#This Row],[Kuuluuko kriteeri kyseisen laitoksen vastattavaksi]]</f>
        <v>Ei kuulu</v>
      </c>
      <c r="B112" t="str">
        <f>Koontitaulukko10[[#This Row],[Extra-kysymys]]</f>
        <v/>
      </c>
      <c r="C112">
        <f>Koontitaulukko10[[#This Row],[Kriteerin kokoluokka]]</f>
        <v>3.4</v>
      </c>
      <c r="D112" t="str">
        <f>Koontitaulukko10[[#This Row],[Kriteerin toimiala]]</f>
        <v>C</v>
      </c>
      <c r="E112" t="str">
        <f>Koontitaulukko10[[#This Row],[Pääkategoria]]</f>
        <v>Kestävä ja kehittyvä</v>
      </c>
      <c r="F112" t="str">
        <f>Koontitaulukko10[[#This Row],[Alakategoria]]</f>
        <v>9. Jätevesien käsittelyn ja johtamisen ympäristökuormitus minimoidaan</v>
      </c>
      <c r="G112" t="str">
        <f>Koontitaulukko10[[#This Row],[Arviointikriteeri]]</f>
        <v>9.7 Vesihuoltolaitos on laatinut vuotovesien hallintasuunnitelman ja vuosittaisen investointisuunnitelman vuotovesien vähentämiseksi ja sitä toteutetaan.</v>
      </c>
      <c r="H112" t="str">
        <f>Koontitaulukko10[[#This Row],[Huoltovarmuus]]</f>
        <v>Ei</v>
      </c>
      <c r="I112" t="str">
        <f>Koontitaulukko10[[#This Row],[Vastaus ]]</f>
        <v/>
      </c>
      <c r="J112">
        <f>Koontitaulukko10[[#This Row],[Vastaajan kokoluokka]]</f>
        <v>0</v>
      </c>
      <c r="K112" t="str">
        <f>Koontitaulukko10[[#This Row],[Vastaajan toimiala]]</f>
        <v/>
      </c>
      <c r="L112" t="str">
        <f>Koontitaulukko10[[#This Row],[Kunta]]</f>
        <v/>
      </c>
      <c r="M112" t="str">
        <f>Koontitaulukko10[[#This Row],[Vesilaitoksen nimi]]</f>
        <v/>
      </c>
      <c r="N112" s="73" t="str">
        <f>Koontitaulukko10[[#This Row],[Vastauspvm]]</f>
        <v/>
      </c>
      <c r="O112" s="73"/>
    </row>
    <row r="113" spans="1:15" x14ac:dyDescent="0.25">
      <c r="A113" t="str">
        <f>Koontitaulukko10[[#This Row],[Kuuluuko kriteeri kyseisen laitoksen vastattavaksi]]</f>
        <v>Ei kuulu</v>
      </c>
      <c r="B113" t="str">
        <f>Koontitaulukko10[[#This Row],[Extra-kysymys]]</f>
        <v/>
      </c>
      <c r="C113">
        <f>Koontitaulukko10[[#This Row],[Kriteerin kokoluokka]]</f>
        <v>3.4</v>
      </c>
      <c r="D113" t="str">
        <f>Koontitaulukko10[[#This Row],[Kriteerin toimiala]]</f>
        <v>D</v>
      </c>
      <c r="E113" t="str">
        <f>Koontitaulukko10[[#This Row],[Pääkategoria]]</f>
        <v>Kestävä ja kehittyvä</v>
      </c>
      <c r="F113" t="str">
        <f>Koontitaulukko10[[#This Row],[Alakategoria]]</f>
        <v>9. Jätevesien käsittelyn ja johtamisen ympäristökuormitus minimoidaan</v>
      </c>
      <c r="G113" t="str">
        <f>Koontitaulukko10[[#This Row],[Arviointikriteeri]]</f>
        <v>9.8 Vesihuoltolaitos on liittynyt vesiensuojelusopimukseen (Green Deal), tavoitteena vapaaehtoisesti vähentää kuormitusta alle lupaehtojen.</v>
      </c>
      <c r="H113" t="str">
        <f>Koontitaulukko10[[#This Row],[Huoltovarmuus]]</f>
        <v>Ei</v>
      </c>
      <c r="I113" t="str">
        <f>Koontitaulukko10[[#This Row],[Vastaus ]]</f>
        <v/>
      </c>
      <c r="J113">
        <f>Koontitaulukko10[[#This Row],[Vastaajan kokoluokka]]</f>
        <v>0</v>
      </c>
      <c r="K113" t="str">
        <f>Koontitaulukko10[[#This Row],[Vastaajan toimiala]]</f>
        <v/>
      </c>
      <c r="L113" t="str">
        <f>Koontitaulukko10[[#This Row],[Kunta]]</f>
        <v/>
      </c>
      <c r="M113" t="str">
        <f>Koontitaulukko10[[#This Row],[Vesilaitoksen nimi]]</f>
        <v/>
      </c>
      <c r="N113" s="73" t="str">
        <f>Koontitaulukko10[[#This Row],[Vastauspvm]]</f>
        <v/>
      </c>
      <c r="O113" s="73"/>
    </row>
    <row r="114" spans="1:15" x14ac:dyDescent="0.25">
      <c r="A114" t="str">
        <f>Koontitaulukko10[[#This Row],[Kuuluuko kriteeri kyseisen laitoksen vastattavaksi]]</f>
        <v>Ei kuulu</v>
      </c>
      <c r="B114" t="str">
        <f>Koontitaulukko10[[#This Row],[Extra-kysymys]]</f>
        <v/>
      </c>
      <c r="C114" t="str">
        <f>Koontitaulukko10[[#This Row],[Kriteerin kokoluokka]]</f>
        <v xml:space="preserve">1,2,3,4 </v>
      </c>
      <c r="D114" t="str">
        <f>Koontitaulukko10[[#This Row],[Kriteerin toimiala]]</f>
        <v>A,B,C,D</v>
      </c>
      <c r="E114" t="str">
        <f>Koontitaulukko10[[#This Row],[Pääkategoria]]</f>
        <v>Kestävä ja kehittyvä</v>
      </c>
      <c r="F114" t="str">
        <f>Koontitaulukko10[[#This Row],[Alakategoria]]</f>
        <v>_Otsikkorivi</v>
      </c>
      <c r="G114" t="str">
        <f>Koontitaulukko10[[#This Row],[Arviointikriteeri]]</f>
        <v>10. Kestävä ja energiatehokas</v>
      </c>
      <c r="H114" t="str">
        <f>Koontitaulukko10[[#This Row],[Huoltovarmuus]]</f>
        <v>Ei</v>
      </c>
      <c r="I114" t="str">
        <f>Koontitaulukko10[[#This Row],[Vastaus ]]</f>
        <v/>
      </c>
      <c r="J114">
        <f>Koontitaulukko10[[#This Row],[Vastaajan kokoluokka]]</f>
        <v>0</v>
      </c>
      <c r="K114" t="str">
        <f>Koontitaulukko10[[#This Row],[Vastaajan toimiala]]</f>
        <v/>
      </c>
      <c r="L114" t="str">
        <f>Koontitaulukko10[[#This Row],[Kunta]]</f>
        <v/>
      </c>
      <c r="M114" t="str">
        <f>Koontitaulukko10[[#This Row],[Vesilaitoksen nimi]]</f>
        <v/>
      </c>
      <c r="N114" s="73" t="str">
        <f>Koontitaulukko10[[#This Row],[Vastauspvm]]</f>
        <v/>
      </c>
      <c r="O114" s="73"/>
    </row>
    <row r="115" spans="1:15" hidden="1" x14ac:dyDescent="0.25">
      <c r="A115" t="str">
        <f>Koontitaulukko10[[#This Row],[Kuuluuko kriteeri kyseisen laitoksen vastattavaksi]]</f>
        <v>Ei kuulu</v>
      </c>
      <c r="B115" t="str">
        <f>Koontitaulukko10[[#This Row],[Extra-kysymys]]</f>
        <v/>
      </c>
      <c r="C115">
        <f>Koontitaulukko10[[#This Row],[Kriteerin kokoluokka]]</f>
        <v>1</v>
      </c>
      <c r="D115" t="str">
        <f>Koontitaulukko10[[#This Row],[Kriteerin toimiala]]</f>
        <v>A,B,C,D</v>
      </c>
      <c r="E115" t="str">
        <f>Koontitaulukko10[[#This Row],[Pääkategoria]]</f>
        <v>Kestävä ja kehittyvä</v>
      </c>
      <c r="F115" t="str">
        <f>Koontitaulukko10[[#This Row],[Alakategoria]]</f>
        <v>10. Kestävä ja energiatehokas</v>
      </c>
      <c r="G115" t="str">
        <f>Koontitaulukko10[[#This Row],[Arviointikriteeri]]</f>
        <v xml:space="preserve">10.1 Vesihuoltolaitoksen energiankulutusta seurataan ja siihen kiinnitetään huomiota </v>
      </c>
      <c r="H115" t="str">
        <f>Koontitaulukko10[[#This Row],[Huoltovarmuus]]</f>
        <v>Ei</v>
      </c>
      <c r="I115" t="str">
        <f>Koontitaulukko10[[#This Row],[Vastaus ]]</f>
        <v/>
      </c>
      <c r="J115">
        <f>Koontitaulukko10[[#This Row],[Vastaajan kokoluokka]]</f>
        <v>0</v>
      </c>
      <c r="K115" t="str">
        <f>Koontitaulukko10[[#This Row],[Vastaajan toimiala]]</f>
        <v/>
      </c>
      <c r="L115" t="str">
        <f>Koontitaulukko10[[#This Row],[Kunta]]</f>
        <v/>
      </c>
      <c r="M115" t="str">
        <f>Koontitaulukko10[[#This Row],[Vesilaitoksen nimi]]</f>
        <v/>
      </c>
      <c r="N115" s="73" t="str">
        <f>Koontitaulukko10[[#This Row],[Vastauspvm]]</f>
        <v/>
      </c>
      <c r="O115" s="73"/>
    </row>
    <row r="116" spans="1:15" x14ac:dyDescent="0.25">
      <c r="A116" t="str">
        <f>Koontitaulukko10[[#This Row],[Kuuluuko kriteeri kyseisen laitoksen vastattavaksi]]</f>
        <v>Ei kuulu</v>
      </c>
      <c r="B116" t="str">
        <f>Koontitaulukko10[[#This Row],[Extra-kysymys]]</f>
        <v/>
      </c>
      <c r="C116" t="str">
        <f>Koontitaulukko10[[#This Row],[Kriteerin kokoluokka]]</f>
        <v>2,3,4</v>
      </c>
      <c r="D116" t="str">
        <f>Koontitaulukko10[[#This Row],[Kriteerin toimiala]]</f>
        <v>A,B,C,D</v>
      </c>
      <c r="E116" t="str">
        <f>Koontitaulukko10[[#This Row],[Pääkategoria]]</f>
        <v>Kestävä ja kehittyvä</v>
      </c>
      <c r="F116" t="str">
        <f>Koontitaulukko10[[#This Row],[Alakategoria]]</f>
        <v>10. Kestävä ja energiatehokas</v>
      </c>
      <c r="G116" t="str">
        <f>Koontitaulukko10[[#This Row],[Arviointikriteeri]]</f>
        <v>10.1 Vesihuoltolaitoksen energiankulutusta mitataan ja seura-taan vesihuoltolaitoksella osa-alueittain (esim. pumppaukset tai muut merkittävimmät energiankulutuskohteet).</v>
      </c>
      <c r="H116" t="str">
        <f>Koontitaulukko10[[#This Row],[Huoltovarmuus]]</f>
        <v>Ei</v>
      </c>
      <c r="I116" t="str">
        <f>Koontitaulukko10[[#This Row],[Vastaus ]]</f>
        <v/>
      </c>
      <c r="J116">
        <f>Koontitaulukko10[[#This Row],[Vastaajan kokoluokka]]</f>
        <v>0</v>
      </c>
      <c r="K116" t="str">
        <f>Koontitaulukko10[[#This Row],[Vastaajan toimiala]]</f>
        <v/>
      </c>
      <c r="L116" t="str">
        <f>Koontitaulukko10[[#This Row],[Kunta]]</f>
        <v/>
      </c>
      <c r="M116" t="str">
        <f>Koontitaulukko10[[#This Row],[Vesilaitoksen nimi]]</f>
        <v/>
      </c>
      <c r="N116" s="73" t="str">
        <f>Koontitaulukko10[[#This Row],[Vastauspvm]]</f>
        <v/>
      </c>
      <c r="O116" s="73"/>
    </row>
    <row r="117" spans="1:15" x14ac:dyDescent="0.25">
      <c r="A117" t="str">
        <f>Koontitaulukko10[[#This Row],[Kuuluuko kriteeri kyseisen laitoksen vastattavaksi]]</f>
        <v>Ei kuulu</v>
      </c>
      <c r="B117" t="str">
        <f>Koontitaulukko10[[#This Row],[Extra-kysymys]]</f>
        <v/>
      </c>
      <c r="C117" t="str">
        <f>Koontitaulukko10[[#This Row],[Kriteerin kokoluokka]]</f>
        <v>1,2,3,4</v>
      </c>
      <c r="D117" t="str">
        <f>Koontitaulukko10[[#This Row],[Kriteerin toimiala]]</f>
        <v>A,B,C,D</v>
      </c>
      <c r="E117" t="str">
        <f>Koontitaulukko10[[#This Row],[Pääkategoria]]</f>
        <v>Kestävä ja kehittyvä</v>
      </c>
      <c r="F117" t="str">
        <f>Koontitaulukko10[[#This Row],[Alakategoria]]</f>
        <v>10. Kestävä ja energiatehokas</v>
      </c>
      <c r="G117" t="str">
        <f>Koontitaulukko10[[#This Row],[Arviointikriteeri]]</f>
        <v>10.2 Vesihuoltolaitos tekee systemaattista riskinarviointia ja riskienhallintaa työturvallisuuden osalta sisältäen mm. kemiallisten ja biologisten vaarojen arvioinnin.</v>
      </c>
      <c r="H117" t="str">
        <f>Koontitaulukko10[[#This Row],[Huoltovarmuus]]</f>
        <v>Ei</v>
      </c>
      <c r="I117" t="str">
        <f>Koontitaulukko10[[#This Row],[Vastaus ]]</f>
        <v/>
      </c>
      <c r="J117">
        <f>Koontitaulukko10[[#This Row],[Vastaajan kokoluokka]]</f>
        <v>0</v>
      </c>
      <c r="K117" t="str">
        <f>Koontitaulukko10[[#This Row],[Vastaajan toimiala]]</f>
        <v/>
      </c>
      <c r="L117" t="str">
        <f>Koontitaulukko10[[#This Row],[Kunta]]</f>
        <v/>
      </c>
      <c r="M117" t="str">
        <f>Koontitaulukko10[[#This Row],[Vesilaitoksen nimi]]</f>
        <v/>
      </c>
      <c r="N117" s="73" t="str">
        <f>Koontitaulukko10[[#This Row],[Vastauspvm]]</f>
        <v/>
      </c>
      <c r="O117" s="73"/>
    </row>
    <row r="118" spans="1:15" x14ac:dyDescent="0.25">
      <c r="A118" t="str">
        <f>Koontitaulukko10[[#This Row],[Kuuluuko kriteeri kyseisen laitoksen vastattavaksi]]</f>
        <v>Ei kuulu</v>
      </c>
      <c r="B118" t="str">
        <f>Koontitaulukko10[[#This Row],[Extra-kysymys]]</f>
        <v/>
      </c>
      <c r="C118" t="str">
        <f>Koontitaulukko10[[#This Row],[Kriteerin kokoluokka]]</f>
        <v>2,3,4</v>
      </c>
      <c r="D118" t="str">
        <f>Koontitaulukko10[[#This Row],[Kriteerin toimiala]]</f>
        <v>C</v>
      </c>
      <c r="E118" t="str">
        <f>Koontitaulukko10[[#This Row],[Pääkategoria]]</f>
        <v>Kestävä ja kehittyvä</v>
      </c>
      <c r="F118" t="str">
        <f>Koontitaulukko10[[#This Row],[Alakategoria]]</f>
        <v>10. Kestävä ja energiatehokas</v>
      </c>
      <c r="G118" t="str">
        <f>Koontitaulukko10[[#This Row],[Arviointikriteeri]]</f>
        <v xml:space="preserve">10.3 Vesihuoltolaitoksen toiminta-alueen asukkaille on kohdistettu neuvontaa luvattomien viemäriliitosten poistamiseksi (esimerkiksi huleveden ja/tai perustusten kuivatusveden johtaminen jätevesiviemäriin ilman lupaa). </v>
      </c>
      <c r="H118" t="str">
        <f>Koontitaulukko10[[#This Row],[Huoltovarmuus]]</f>
        <v>Ei</v>
      </c>
      <c r="I118" t="str">
        <f>Koontitaulukko10[[#This Row],[Vastaus ]]</f>
        <v/>
      </c>
      <c r="J118">
        <f>Koontitaulukko10[[#This Row],[Vastaajan kokoluokka]]</f>
        <v>0</v>
      </c>
      <c r="K118" t="str">
        <f>Koontitaulukko10[[#This Row],[Vastaajan toimiala]]</f>
        <v/>
      </c>
      <c r="L118" t="str">
        <f>Koontitaulukko10[[#This Row],[Kunta]]</f>
        <v/>
      </c>
      <c r="M118" t="str">
        <f>Koontitaulukko10[[#This Row],[Vesilaitoksen nimi]]</f>
        <v/>
      </c>
      <c r="N118" s="73" t="str">
        <f>Koontitaulukko10[[#This Row],[Vastauspvm]]</f>
        <v/>
      </c>
      <c r="O118" s="73"/>
    </row>
    <row r="119" spans="1:15" x14ac:dyDescent="0.25">
      <c r="A119" t="str">
        <f>Koontitaulukko10[[#This Row],[Kuuluuko kriteeri kyseisen laitoksen vastattavaksi]]</f>
        <v>Ei kuulu</v>
      </c>
      <c r="B119" t="str">
        <f>Koontitaulukko10[[#This Row],[Extra-kysymys]]</f>
        <v/>
      </c>
      <c r="C119" t="str">
        <f>Koontitaulukko10[[#This Row],[Kriteerin kokoluokka]]</f>
        <v>2,3,4</v>
      </c>
      <c r="D119" t="str">
        <f>Koontitaulukko10[[#This Row],[Kriteerin toimiala]]</f>
        <v>C</v>
      </c>
      <c r="E119" t="str">
        <f>Koontitaulukko10[[#This Row],[Pääkategoria]]</f>
        <v>Kestävä ja kehittyvä</v>
      </c>
      <c r="F119" t="str">
        <f>Koontitaulukko10[[#This Row],[Alakategoria]]</f>
        <v>10. Kestävä ja energiatehokas</v>
      </c>
      <c r="G119" t="str">
        <f>Koontitaulukko10[[#This Row],[Arviointikriteeri]]</f>
        <v>10.4 Taloudelliset ohjauskeinot luvattomien viemäriliitosten poistamiseksi ovat aidosti käytössä eli korotettuja maksuja peritään tarvittaessa.</v>
      </c>
      <c r="H119" t="str">
        <f>Koontitaulukko10[[#This Row],[Huoltovarmuus]]</f>
        <v>Ei</v>
      </c>
      <c r="I119" t="str">
        <f>Koontitaulukko10[[#This Row],[Vastaus ]]</f>
        <v/>
      </c>
      <c r="J119">
        <f>Koontitaulukko10[[#This Row],[Vastaajan kokoluokka]]</f>
        <v>0</v>
      </c>
      <c r="K119" t="str">
        <f>Koontitaulukko10[[#This Row],[Vastaajan toimiala]]</f>
        <v/>
      </c>
      <c r="L119" t="str">
        <f>Koontitaulukko10[[#This Row],[Kunta]]</f>
        <v/>
      </c>
      <c r="M119" t="str">
        <f>Koontitaulukko10[[#This Row],[Vesilaitoksen nimi]]</f>
        <v/>
      </c>
      <c r="N119" s="73" t="str">
        <f>Koontitaulukko10[[#This Row],[Vastauspvm]]</f>
        <v/>
      </c>
      <c r="O119" s="73"/>
    </row>
    <row r="120" spans="1:15" x14ac:dyDescent="0.25">
      <c r="A120" t="str">
        <f>Koontitaulukko10[[#This Row],[Kuuluuko kriteeri kyseisen laitoksen vastattavaksi]]</f>
        <v>Ei kuulu</v>
      </c>
      <c r="B120" t="str">
        <f>Koontitaulukko10[[#This Row],[Extra-kysymys]]</f>
        <v/>
      </c>
      <c r="C120">
        <f>Koontitaulukko10[[#This Row],[Kriteerin kokoluokka]]</f>
        <v>3.4</v>
      </c>
      <c r="D120" t="str">
        <f>Koontitaulukko10[[#This Row],[Kriteerin toimiala]]</f>
        <v>A,B,C,D</v>
      </c>
      <c r="E120" t="str">
        <f>Koontitaulukko10[[#This Row],[Pääkategoria]]</f>
        <v>Kestävä ja kehittyvä</v>
      </c>
      <c r="F120" t="str">
        <f>Koontitaulukko10[[#This Row],[Alakategoria]]</f>
        <v>10. Kestävä ja energiatehokas</v>
      </c>
      <c r="G120" t="str">
        <f>Koontitaulukko10[[#This Row],[Arviointikriteeri]]</f>
        <v>10.5 Vesihuoltolaitos laatii ja julkaisee ympäristötilinpäätöksen vuosittain.</v>
      </c>
      <c r="H120" t="str">
        <f>Koontitaulukko10[[#This Row],[Huoltovarmuus]]</f>
        <v>Ei</v>
      </c>
      <c r="I120" t="str">
        <f>Koontitaulukko10[[#This Row],[Vastaus ]]</f>
        <v/>
      </c>
      <c r="J120">
        <f>Koontitaulukko10[[#This Row],[Vastaajan kokoluokka]]</f>
        <v>0</v>
      </c>
      <c r="K120" t="str">
        <f>Koontitaulukko10[[#This Row],[Vastaajan toimiala]]</f>
        <v/>
      </c>
      <c r="L120" t="str">
        <f>Koontitaulukko10[[#This Row],[Kunta]]</f>
        <v/>
      </c>
      <c r="M120" t="str">
        <f>Koontitaulukko10[[#This Row],[Vesilaitoksen nimi]]</f>
        <v/>
      </c>
      <c r="N120" s="73" t="str">
        <f>Koontitaulukko10[[#This Row],[Vastauspvm]]</f>
        <v/>
      </c>
      <c r="O120" s="73"/>
    </row>
    <row r="121" spans="1:15" x14ac:dyDescent="0.25">
      <c r="A121" t="str">
        <f>Koontitaulukko10[[#This Row],[Kuuluuko kriteeri kyseisen laitoksen vastattavaksi]]</f>
        <v>Ei kuulu</v>
      </c>
      <c r="B121" t="str">
        <f>Koontitaulukko10[[#This Row],[Extra-kysymys]]</f>
        <v/>
      </c>
      <c r="C121">
        <f>Koontitaulukko10[[#This Row],[Kriteerin kokoluokka]]</f>
        <v>3.4</v>
      </c>
      <c r="D121" t="str">
        <f>Koontitaulukko10[[#This Row],[Kriteerin toimiala]]</f>
        <v>A,B,C,D</v>
      </c>
      <c r="E121" t="str">
        <f>Koontitaulukko10[[#This Row],[Pääkategoria]]</f>
        <v>Kestävä ja kehittyvä</v>
      </c>
      <c r="F121" t="str">
        <f>Koontitaulukko10[[#This Row],[Alakategoria]]</f>
        <v>10. Kestävä ja energiatehokas</v>
      </c>
      <c r="G121" t="str">
        <f>Koontitaulukko10[[#This Row],[Arviointikriteeri]]</f>
        <v>10.6 Vesihuoltolaitoksen hiilijalanjälki on laskettu ja tuloksia käytetään toiminnan ohjauksessa.</v>
      </c>
      <c r="H121" t="str">
        <f>Koontitaulukko10[[#This Row],[Huoltovarmuus]]</f>
        <v>Ei</v>
      </c>
      <c r="I121" t="str">
        <f>Koontitaulukko10[[#This Row],[Vastaus ]]</f>
        <v/>
      </c>
      <c r="J121">
        <f>Koontitaulukko10[[#This Row],[Vastaajan kokoluokka]]</f>
        <v>0</v>
      </c>
      <c r="K121" t="str">
        <f>Koontitaulukko10[[#This Row],[Vastaajan toimiala]]</f>
        <v/>
      </c>
      <c r="L121" t="str">
        <f>Koontitaulukko10[[#This Row],[Kunta]]</f>
        <v/>
      </c>
      <c r="M121" t="str">
        <f>Koontitaulukko10[[#This Row],[Vesilaitoksen nimi]]</f>
        <v/>
      </c>
      <c r="N121" s="73" t="str">
        <f>Koontitaulukko10[[#This Row],[Vastauspvm]]</f>
        <v/>
      </c>
      <c r="O121" s="73"/>
    </row>
    <row r="122" spans="1:15" x14ac:dyDescent="0.25">
      <c r="A122" t="str">
        <f>Koontitaulukko10[[#This Row],[Kuuluuko kriteeri kyseisen laitoksen vastattavaksi]]</f>
        <v>Ei kuulu</v>
      </c>
      <c r="B122" t="str">
        <f>Koontitaulukko10[[#This Row],[Extra-kysymys]]</f>
        <v/>
      </c>
      <c r="C122">
        <f>Koontitaulukko10[[#This Row],[Kriteerin kokoluokka]]</f>
        <v>3.4</v>
      </c>
      <c r="D122" t="str">
        <f>Koontitaulukko10[[#This Row],[Kriteerin toimiala]]</f>
        <v>A,B,C,D</v>
      </c>
      <c r="E122" t="str">
        <f>Koontitaulukko10[[#This Row],[Pääkategoria]]</f>
        <v>Kestävä ja kehittyvä</v>
      </c>
      <c r="F122" t="str">
        <f>Koontitaulukko10[[#This Row],[Alakategoria]]</f>
        <v>10. Kestävä ja energiatehokas</v>
      </c>
      <c r="G122" t="str">
        <f>Koontitaulukko10[[#This Row],[Arviointikriteeri]]</f>
        <v>10.7 Vesihuoltolaitoksen energiankulutus on analysoitu, toimenpideohjelma energiatehokkuuden parantamiseksi laadittu ja sitä toteutetaan.</v>
      </c>
      <c r="H122" t="str">
        <f>Koontitaulukko10[[#This Row],[Huoltovarmuus]]</f>
        <v>Ei</v>
      </c>
      <c r="I122" t="str">
        <f>Koontitaulukko10[[#This Row],[Vastaus ]]</f>
        <v/>
      </c>
      <c r="J122">
        <f>Koontitaulukko10[[#This Row],[Vastaajan kokoluokka]]</f>
        <v>0</v>
      </c>
      <c r="K122" t="str">
        <f>Koontitaulukko10[[#This Row],[Vastaajan toimiala]]</f>
        <v/>
      </c>
      <c r="L122" t="str">
        <f>Koontitaulukko10[[#This Row],[Kunta]]</f>
        <v/>
      </c>
      <c r="M122" t="str">
        <f>Koontitaulukko10[[#This Row],[Vesilaitoksen nimi]]</f>
        <v/>
      </c>
      <c r="N122" s="73" t="str">
        <f>Koontitaulukko10[[#This Row],[Vastauspvm]]</f>
        <v/>
      </c>
      <c r="O122" s="73"/>
    </row>
    <row r="123" spans="1:15" x14ac:dyDescent="0.25">
      <c r="A123" t="str">
        <f>Koontitaulukko10[[#This Row],[Kuuluuko kriteeri kyseisen laitoksen vastattavaksi]]</f>
        <v>Ei kuulu</v>
      </c>
      <c r="B123" t="str">
        <f>Koontitaulukko10[[#This Row],[Extra-kysymys]]</f>
        <v/>
      </c>
      <c r="C123">
        <f>Koontitaulukko10[[#This Row],[Kriteerin kokoluokka]]</f>
        <v>4</v>
      </c>
      <c r="D123" t="str">
        <f>Koontitaulukko10[[#This Row],[Kriteerin toimiala]]</f>
        <v>D</v>
      </c>
      <c r="E123" t="str">
        <f>Koontitaulukko10[[#This Row],[Pääkategoria]]</f>
        <v>Kestävä ja kehittyvä</v>
      </c>
      <c r="F123" t="str">
        <f>Koontitaulukko10[[#This Row],[Alakategoria]]</f>
        <v>10. Kestävä ja energiatehokas</v>
      </c>
      <c r="G123" t="str">
        <f>Koontitaulukko10[[#This Row],[Arviointikriteeri]]</f>
        <v xml:space="preserve">10.8 Jätevedenpuhdistamolla hyödynnetään hukkalämpöä. </v>
      </c>
      <c r="H123" t="str">
        <f>Koontitaulukko10[[#This Row],[Huoltovarmuus]]</f>
        <v>Ei</v>
      </c>
      <c r="I123" t="str">
        <f>Koontitaulukko10[[#This Row],[Vastaus ]]</f>
        <v/>
      </c>
      <c r="J123">
        <f>Koontitaulukko10[[#This Row],[Vastaajan kokoluokka]]</f>
        <v>0</v>
      </c>
      <c r="K123" t="str">
        <f>Koontitaulukko10[[#This Row],[Vastaajan toimiala]]</f>
        <v/>
      </c>
      <c r="L123" t="str">
        <f>Koontitaulukko10[[#This Row],[Kunta]]</f>
        <v/>
      </c>
      <c r="M123" t="str">
        <f>Koontitaulukko10[[#This Row],[Vesilaitoksen nimi]]</f>
        <v/>
      </c>
      <c r="N123" s="73" t="str">
        <f>Koontitaulukko10[[#This Row],[Vastauspvm]]</f>
        <v/>
      </c>
      <c r="O123" s="73"/>
    </row>
    <row r="124" spans="1:15" x14ac:dyDescent="0.25">
      <c r="A124" t="str">
        <f>Koontitaulukko10[[#This Row],[Kuuluuko kriteeri kyseisen laitoksen vastattavaksi]]</f>
        <v>Ei kuulu</v>
      </c>
      <c r="B124" t="str">
        <f>Koontitaulukko10[[#This Row],[Extra-kysymys]]</f>
        <v/>
      </c>
      <c r="C124">
        <f>Koontitaulukko10[[#This Row],[Kriteerin kokoluokka]]</f>
        <v>5</v>
      </c>
      <c r="D124" t="str">
        <f>Koontitaulukko10[[#This Row],[Kriteerin toimiala]]</f>
        <v>A,B,C,D</v>
      </c>
      <c r="E124" t="str">
        <f>Koontitaulukko10[[#This Row],[Pääkategoria]]</f>
        <v>Kestävä ja kehittyvä</v>
      </c>
      <c r="F124" t="str">
        <f>Koontitaulukko10[[#This Row],[Alakategoria]]</f>
        <v>10. Kestävä ja energiatehokas</v>
      </c>
      <c r="G124" t="str">
        <f>Koontitaulukko10[[#This Row],[Arviointikriteeri]]</f>
        <v>10.9 Vesilaitoksen toiminnassa on järjestelmällisesti otettu huomioon ympäristö-, talous- ja sosiaalinen vastuu.</v>
      </c>
      <c r="H124" t="str">
        <f>Koontitaulukko10[[#This Row],[Huoltovarmuus]]</f>
        <v>Ei</v>
      </c>
      <c r="I124" t="str">
        <f>Koontitaulukko10[[#This Row],[Vastaus ]]</f>
        <v/>
      </c>
      <c r="J124">
        <f>Koontitaulukko10[[#This Row],[Vastaajan kokoluokka]]</f>
        <v>0</v>
      </c>
      <c r="K124" t="str">
        <f>Koontitaulukko10[[#This Row],[Vastaajan toimiala]]</f>
        <v/>
      </c>
      <c r="L124" t="str">
        <f>Koontitaulukko10[[#This Row],[Kunta]]</f>
        <v/>
      </c>
      <c r="M124" t="str">
        <f>Koontitaulukko10[[#This Row],[Vesilaitoksen nimi]]</f>
        <v/>
      </c>
      <c r="N124" s="73" t="str">
        <f>Koontitaulukko10[[#This Row],[Vastauspvm]]</f>
        <v/>
      </c>
      <c r="O124" s="73"/>
    </row>
    <row r="125" spans="1:15" x14ac:dyDescent="0.25">
      <c r="A125" t="str">
        <f>Koontitaulukko10[[#This Row],[Kuuluuko kriteeri kyseisen laitoksen vastattavaksi]]</f>
        <v>Ei kuulu</v>
      </c>
      <c r="B125" t="str">
        <f>Koontitaulukko10[[#This Row],[Extra-kysymys]]</f>
        <v/>
      </c>
      <c r="C125">
        <f>Koontitaulukko10[[#This Row],[Kriteerin kokoluokka]]</f>
        <v>5</v>
      </c>
      <c r="D125" t="str">
        <f>Koontitaulukko10[[#This Row],[Kriteerin toimiala]]</f>
        <v>A,B,C,D</v>
      </c>
      <c r="E125" t="str">
        <f>Koontitaulukko10[[#This Row],[Pääkategoria]]</f>
        <v>Kestävä ja kehittyvä</v>
      </c>
      <c r="F125" t="str">
        <f>Koontitaulukko10[[#This Row],[Alakategoria]]</f>
        <v>10. Kestävä ja energiatehokas</v>
      </c>
      <c r="G125" t="str">
        <f>Koontitaulukko10[[#This Row],[Arviointikriteeri]]</f>
        <v>10.10 Vesihuoltolaitoksen energiantuottopotentiaali on kartoitettu ja laitoksella on tavoitearvo energiaomavaraisuudelle.</v>
      </c>
      <c r="H125" t="str">
        <f>Koontitaulukko10[[#This Row],[Huoltovarmuus]]</f>
        <v>Ei</v>
      </c>
      <c r="I125" t="str">
        <f>Koontitaulukko10[[#This Row],[Vastaus ]]</f>
        <v/>
      </c>
      <c r="J125">
        <f>Koontitaulukko10[[#This Row],[Vastaajan kokoluokka]]</f>
        <v>0</v>
      </c>
      <c r="K125" t="str">
        <f>Koontitaulukko10[[#This Row],[Vastaajan toimiala]]</f>
        <v/>
      </c>
      <c r="L125" t="str">
        <f>Koontitaulukko10[[#This Row],[Kunta]]</f>
        <v/>
      </c>
      <c r="M125" t="str">
        <f>Koontitaulukko10[[#This Row],[Vesilaitoksen nimi]]</f>
        <v/>
      </c>
      <c r="N125" s="73" t="str">
        <f>Koontitaulukko10[[#This Row],[Vastauspvm]]</f>
        <v/>
      </c>
      <c r="O125" s="73"/>
    </row>
    <row r="126" spans="1:15" x14ac:dyDescent="0.25">
      <c r="A126" t="str">
        <f>Koontitaulukko10[[#This Row],[Kuuluuko kriteeri kyseisen laitoksen vastattavaksi]]</f>
        <v>Ei kuulu</v>
      </c>
      <c r="B126" t="str">
        <f>Koontitaulukko10[[#This Row],[Extra-kysymys]]</f>
        <v/>
      </c>
      <c r="C126">
        <f>Koontitaulukko10[[#This Row],[Kriteerin kokoluokka]]</f>
        <v>5</v>
      </c>
      <c r="D126" t="str">
        <f>Koontitaulukko10[[#This Row],[Kriteerin toimiala]]</f>
        <v>A,B,C,D</v>
      </c>
      <c r="E126" t="str">
        <f>Koontitaulukko10[[#This Row],[Pääkategoria]]</f>
        <v>Kestävä ja kehittyvä</v>
      </c>
      <c r="F126" t="str">
        <f>Koontitaulukko10[[#This Row],[Alakategoria]]</f>
        <v>10. Kestävä ja energiatehokas</v>
      </c>
      <c r="G126" t="str">
        <f>Koontitaulukko10[[#This Row],[Arviointikriteeri]]</f>
        <v xml:space="preserve">10.12 Hiilineutraalisuudelle on asetettu tavoite ja toimenpidesuunnitelma sen saavuttamiseksi </v>
      </c>
      <c r="H126" t="str">
        <f>Koontitaulukko10[[#This Row],[Huoltovarmuus]]</f>
        <v>Ei</v>
      </c>
      <c r="I126" t="str">
        <f>Koontitaulukko10[[#This Row],[Vastaus ]]</f>
        <v/>
      </c>
      <c r="J126">
        <f>Koontitaulukko10[[#This Row],[Vastaajan kokoluokka]]</f>
        <v>0</v>
      </c>
      <c r="K126" t="str">
        <f>Koontitaulukko10[[#This Row],[Vastaajan toimiala]]</f>
        <v/>
      </c>
      <c r="L126" t="str">
        <f>Koontitaulukko10[[#This Row],[Kunta]]</f>
        <v/>
      </c>
      <c r="M126" t="str">
        <f>Koontitaulukko10[[#This Row],[Vesilaitoksen nimi]]</f>
        <v/>
      </c>
      <c r="N126" s="73" t="str">
        <f>Koontitaulukko10[[#This Row],[Vastauspvm]]</f>
        <v/>
      </c>
      <c r="O126" s="73"/>
    </row>
    <row r="127" spans="1:15" x14ac:dyDescent="0.25">
      <c r="A127" t="str">
        <f>Koontitaulukko10[[#This Row],[Kuuluuko kriteeri kyseisen laitoksen vastattavaksi]]</f>
        <v>Ei kuulu</v>
      </c>
      <c r="B127" t="str">
        <f>Koontitaulukko10[[#This Row],[Extra-kysymys]]</f>
        <v/>
      </c>
      <c r="C127" t="str">
        <f>Koontitaulukko10[[#This Row],[Kriteerin kokoluokka]]</f>
        <v xml:space="preserve">1,2,3,4 </v>
      </c>
      <c r="D127" t="str">
        <f>Koontitaulukko10[[#This Row],[Kriteerin toimiala]]</f>
        <v>A,B,C,D</v>
      </c>
      <c r="E127" t="str">
        <f>Koontitaulukko10[[#This Row],[Pääkategoria]]</f>
        <v>Kestävä ja kehittyvä</v>
      </c>
      <c r="F127" t="str">
        <f>Koontitaulukko10[[#This Row],[Alakategoria]]</f>
        <v>_Otsikkorivi</v>
      </c>
      <c r="G127" t="str">
        <f>Koontitaulukko10[[#This Row],[Arviointikriteeri]]</f>
        <v>11. Asiakaspalvelu ja viestintä on suunniteltua ja läpinäkyvää</v>
      </c>
      <c r="H127" t="str">
        <f>Koontitaulukko10[[#This Row],[Huoltovarmuus]]</f>
        <v>Ei</v>
      </c>
      <c r="I127" t="str">
        <f>Koontitaulukko10[[#This Row],[Vastaus ]]</f>
        <v/>
      </c>
      <c r="J127">
        <f>Koontitaulukko10[[#This Row],[Vastaajan kokoluokka]]</f>
        <v>0</v>
      </c>
      <c r="K127" t="str">
        <f>Koontitaulukko10[[#This Row],[Vastaajan toimiala]]</f>
        <v/>
      </c>
      <c r="L127" t="str">
        <f>Koontitaulukko10[[#This Row],[Kunta]]</f>
        <v/>
      </c>
      <c r="M127" t="str">
        <f>Koontitaulukko10[[#This Row],[Vesilaitoksen nimi]]</f>
        <v/>
      </c>
      <c r="N127" s="73" t="str">
        <f>Koontitaulukko10[[#This Row],[Vastauspvm]]</f>
        <v/>
      </c>
      <c r="O127" s="73"/>
    </row>
    <row r="128" spans="1:15" hidden="1" x14ac:dyDescent="0.25">
      <c r="A128" t="str">
        <f>Koontitaulukko10[[#This Row],[Kuuluuko kriteeri kyseisen laitoksen vastattavaksi]]</f>
        <v>Ei kuulu</v>
      </c>
      <c r="B128" t="str">
        <f>Koontitaulukko10[[#This Row],[Extra-kysymys]]</f>
        <v/>
      </c>
      <c r="C128" t="str">
        <f>Koontitaulukko10[[#This Row],[Kriteerin kokoluokka]]</f>
        <v>1,2,3,4</v>
      </c>
      <c r="D128" t="str">
        <f>Koontitaulukko10[[#This Row],[Kriteerin toimiala]]</f>
        <v>B,C</v>
      </c>
      <c r="E128" t="str">
        <f>Koontitaulukko10[[#This Row],[Pääkategoria]]</f>
        <v>Kestävä ja kehittyvä</v>
      </c>
      <c r="F128" t="str">
        <f>Koontitaulukko10[[#This Row],[Alakategoria]]</f>
        <v>11. Asiakaspalvelu ja viestintä on suunniteltua ja läpinäkyvää</v>
      </c>
      <c r="G128" t="str">
        <f>Koontitaulukko10[[#This Row],[Arviointikriteeri]]</f>
        <v>11.1 Säännöllinen asiakasviestintä esim. www-sivuilla, laskun/mittarilukemakortin yhteydessä tai asiakaslehdellä</v>
      </c>
      <c r="H128" t="str">
        <f>Koontitaulukko10[[#This Row],[Huoltovarmuus]]</f>
        <v>Ei</v>
      </c>
      <c r="I128" t="str">
        <f>Koontitaulukko10[[#This Row],[Vastaus ]]</f>
        <v/>
      </c>
      <c r="J128">
        <f>Koontitaulukko10[[#This Row],[Vastaajan kokoluokka]]</f>
        <v>0</v>
      </c>
      <c r="K128" t="str">
        <f>Koontitaulukko10[[#This Row],[Vastaajan toimiala]]</f>
        <v/>
      </c>
      <c r="L128" t="str">
        <f>Koontitaulukko10[[#This Row],[Kunta]]</f>
        <v/>
      </c>
      <c r="M128" t="str">
        <f>Koontitaulukko10[[#This Row],[Vesilaitoksen nimi]]</f>
        <v/>
      </c>
      <c r="N128" s="73" t="str">
        <f>Koontitaulukko10[[#This Row],[Vastauspvm]]</f>
        <v/>
      </c>
      <c r="O128" s="73"/>
    </row>
    <row r="129" spans="1:15" x14ac:dyDescent="0.25">
      <c r="A129" t="str">
        <f>Koontitaulukko10[[#This Row],[Kuuluuko kriteeri kyseisen laitoksen vastattavaksi]]</f>
        <v>Ei kuulu</v>
      </c>
      <c r="B129" t="str">
        <f>Koontitaulukko10[[#This Row],[Extra-kysymys]]</f>
        <v/>
      </c>
      <c r="C129" t="str">
        <f>Koontitaulukko10[[#This Row],[Kriteerin kokoluokka]]</f>
        <v>1,2,3,4</v>
      </c>
      <c r="D129" t="str">
        <f>Koontitaulukko10[[#This Row],[Kriteerin toimiala]]</f>
        <v>A,B,C,D</v>
      </c>
      <c r="E129" t="str">
        <f>Koontitaulukko10[[#This Row],[Pääkategoria]]</f>
        <v>Kestävä ja kehittyvä</v>
      </c>
      <c r="F129" t="str">
        <f>Koontitaulukko10[[#This Row],[Alakategoria]]</f>
        <v>11. Asiakaspalvelu ja viestintä on suunniteltua ja läpinäkyvää</v>
      </c>
      <c r="G129" t="str">
        <f>Koontitaulukko10[[#This Row],[Arviointikriteeri]]</f>
        <v>11.2 Toimintakertomus ja tilinpäätös julkaistaan vuosittain</v>
      </c>
      <c r="H129" t="str">
        <f>Koontitaulukko10[[#This Row],[Huoltovarmuus]]</f>
        <v>Ei</v>
      </c>
      <c r="I129" t="str">
        <f>Koontitaulukko10[[#This Row],[Vastaus ]]</f>
        <v/>
      </c>
      <c r="J129">
        <f>Koontitaulukko10[[#This Row],[Vastaajan kokoluokka]]</f>
        <v>0</v>
      </c>
      <c r="K129" t="str">
        <f>Koontitaulukko10[[#This Row],[Vastaajan toimiala]]</f>
        <v/>
      </c>
      <c r="L129" t="str">
        <f>Koontitaulukko10[[#This Row],[Kunta]]</f>
        <v/>
      </c>
      <c r="M129" t="str">
        <f>Koontitaulukko10[[#This Row],[Vesilaitoksen nimi]]</f>
        <v/>
      </c>
      <c r="N129" s="73" t="str">
        <f>Koontitaulukko10[[#This Row],[Vastauspvm]]</f>
        <v/>
      </c>
      <c r="O129" s="73"/>
    </row>
    <row r="130" spans="1:15" x14ac:dyDescent="0.25">
      <c r="A130" t="str">
        <f>Koontitaulukko10[[#This Row],[Kuuluuko kriteeri kyseisen laitoksen vastattavaksi]]</f>
        <v>Ei kuulu</v>
      </c>
      <c r="B130" t="str">
        <f>Koontitaulukko10[[#This Row],[Extra-kysymys]]</f>
        <v/>
      </c>
      <c r="C130" t="str">
        <f>Koontitaulukko10[[#This Row],[Kriteerin kokoluokka]]</f>
        <v>1,2,3,4</v>
      </c>
      <c r="D130" t="str">
        <f>Koontitaulukko10[[#This Row],[Kriteerin toimiala]]</f>
        <v>B,C</v>
      </c>
      <c r="E130" t="str">
        <f>Koontitaulukko10[[#This Row],[Pääkategoria]]</f>
        <v>Kestävä ja kehittyvä</v>
      </c>
      <c r="F130" t="str">
        <f>Koontitaulukko10[[#This Row],[Alakategoria]]</f>
        <v>11. Asiakaspalvelu ja viestintä on suunniteltua ja läpinäkyvää</v>
      </c>
      <c r="G130" t="str">
        <f>Koontitaulukko10[[#This Row],[Arviointikriteeri]]</f>
        <v>11.3 Asiakaspalaute kirjataan ylös</v>
      </c>
      <c r="H130" t="str">
        <f>Koontitaulukko10[[#This Row],[Huoltovarmuus]]</f>
        <v>Ei</v>
      </c>
      <c r="I130" t="str">
        <f>Koontitaulukko10[[#This Row],[Vastaus ]]</f>
        <v/>
      </c>
      <c r="J130">
        <f>Koontitaulukko10[[#This Row],[Vastaajan kokoluokka]]</f>
        <v>0</v>
      </c>
      <c r="K130" t="str">
        <f>Koontitaulukko10[[#This Row],[Vastaajan toimiala]]</f>
        <v/>
      </c>
      <c r="L130" t="str">
        <f>Koontitaulukko10[[#This Row],[Kunta]]</f>
        <v/>
      </c>
      <c r="M130" t="str">
        <f>Koontitaulukko10[[#This Row],[Vesilaitoksen nimi]]</f>
        <v/>
      </c>
      <c r="N130" s="73" t="str">
        <f>Koontitaulukko10[[#This Row],[Vastauspvm]]</f>
        <v/>
      </c>
      <c r="O130" s="73"/>
    </row>
    <row r="131" spans="1:15" x14ac:dyDescent="0.25">
      <c r="A131" t="str">
        <f>Koontitaulukko10[[#This Row],[Kuuluuko kriteeri kyseisen laitoksen vastattavaksi]]</f>
        <v>Ei kuulu</v>
      </c>
      <c r="B131" t="str">
        <f>Koontitaulukko10[[#This Row],[Extra-kysymys]]</f>
        <v/>
      </c>
      <c r="C131" t="str">
        <f>Koontitaulukko10[[#This Row],[Kriteerin kokoluokka]]</f>
        <v>2,3,4</v>
      </c>
      <c r="D131" t="str">
        <f>Koontitaulukko10[[#This Row],[Kriteerin toimiala]]</f>
        <v>B,C</v>
      </c>
      <c r="E131" t="str">
        <f>Koontitaulukko10[[#This Row],[Pääkategoria]]</f>
        <v>Kestävä ja kehittyvä</v>
      </c>
      <c r="F131" t="str">
        <f>Koontitaulukko10[[#This Row],[Alakategoria]]</f>
        <v>11. Asiakaspalvelu ja viestintä on suunniteltua ja läpinäkyvää</v>
      </c>
      <c r="G131" t="str">
        <f>Koontitaulukko10[[#This Row],[Arviointikriteeri]]</f>
        <v>11.4 Asiakastietojärjestelmä mahdollistaa sähköiset asiakaspalvelut</v>
      </c>
      <c r="H131" t="str">
        <f>Koontitaulukko10[[#This Row],[Huoltovarmuus]]</f>
        <v>Ei</v>
      </c>
      <c r="I131" t="str">
        <f>Koontitaulukko10[[#This Row],[Vastaus ]]</f>
        <v/>
      </c>
      <c r="J131">
        <f>Koontitaulukko10[[#This Row],[Vastaajan kokoluokka]]</f>
        <v>0</v>
      </c>
      <c r="K131" t="str">
        <f>Koontitaulukko10[[#This Row],[Vastaajan toimiala]]</f>
        <v/>
      </c>
      <c r="L131" t="str">
        <f>Koontitaulukko10[[#This Row],[Kunta]]</f>
        <v/>
      </c>
      <c r="M131" t="str">
        <f>Koontitaulukko10[[#This Row],[Vesilaitoksen nimi]]</f>
        <v/>
      </c>
      <c r="N131" s="73" t="str">
        <f>Koontitaulukko10[[#This Row],[Vastauspvm]]</f>
        <v/>
      </c>
      <c r="O131" s="73"/>
    </row>
    <row r="132" spans="1:15" x14ac:dyDescent="0.25">
      <c r="A132" t="str">
        <f>Koontitaulukko10[[#This Row],[Kuuluuko kriteeri kyseisen laitoksen vastattavaksi]]</f>
        <v>Ei kuulu</v>
      </c>
      <c r="B132" t="str">
        <f>Koontitaulukko10[[#This Row],[Extra-kysymys]]</f>
        <v/>
      </c>
      <c r="C132" t="str">
        <f>Koontitaulukko10[[#This Row],[Kriteerin kokoluokka]]</f>
        <v>2,3,4</v>
      </c>
      <c r="D132" t="str">
        <f>Koontitaulukko10[[#This Row],[Kriteerin toimiala]]</f>
        <v>B,C</v>
      </c>
      <c r="E132" t="str">
        <f>Koontitaulukko10[[#This Row],[Pääkategoria]]</f>
        <v>Kestävä ja kehittyvä</v>
      </c>
      <c r="F132" t="str">
        <f>Koontitaulukko10[[#This Row],[Alakategoria]]</f>
        <v>11. Asiakaspalvelu ja viestintä on suunniteltua ja läpinäkyvää</v>
      </c>
      <c r="G132" t="str">
        <f>Koontitaulukko10[[#This Row],[Arviointikriteeri]]</f>
        <v>11.5 Asiakasreklamaatiot &lt;0,5 % kunnan asukasmäärästä /v tai &lt; 1% vesilaitoksen toiminta-alueella asuvien määrästä/v. Reklamaatio = Asiakasyhteydenotto (yksi per tapaus), joka aiheutuu vesihuoltolaitoksen toiminnasta aiheutuneesta haitasta, puutteesta tai virheestä vesihuollossa tai vesilaitoksen työntekijän toiminnassa.</v>
      </c>
      <c r="H132" t="str">
        <f>Koontitaulukko10[[#This Row],[Huoltovarmuus]]</f>
        <v>Ei</v>
      </c>
      <c r="I132" t="str">
        <f>Koontitaulukko10[[#This Row],[Vastaus ]]</f>
        <v/>
      </c>
      <c r="J132">
        <f>Koontitaulukko10[[#This Row],[Vastaajan kokoluokka]]</f>
        <v>0</v>
      </c>
      <c r="K132" t="str">
        <f>Koontitaulukko10[[#This Row],[Vastaajan toimiala]]</f>
        <v/>
      </c>
      <c r="L132" t="str">
        <f>Koontitaulukko10[[#This Row],[Kunta]]</f>
        <v/>
      </c>
      <c r="M132" t="str">
        <f>Koontitaulukko10[[#This Row],[Vesilaitoksen nimi]]</f>
        <v/>
      </c>
      <c r="N132" s="73" t="str">
        <f>Koontitaulukko10[[#This Row],[Vastauspvm]]</f>
        <v/>
      </c>
      <c r="O132" s="73"/>
    </row>
    <row r="133" spans="1:15" x14ac:dyDescent="0.25">
      <c r="A133" t="str">
        <f>Koontitaulukko10[[#This Row],[Kuuluuko kriteeri kyseisen laitoksen vastattavaksi]]</f>
        <v>Ei kuulu</v>
      </c>
      <c r="B133" t="str">
        <f>Koontitaulukko10[[#This Row],[Extra-kysymys]]</f>
        <v/>
      </c>
      <c r="C133">
        <f>Koontitaulukko10[[#This Row],[Kriteerin kokoluokka]]</f>
        <v>2</v>
      </c>
      <c r="D133" t="str">
        <f>Koontitaulukko10[[#This Row],[Kriteerin toimiala]]</f>
        <v>B,C</v>
      </c>
      <c r="E133" t="str">
        <f>Koontitaulukko10[[#This Row],[Pääkategoria]]</f>
        <v>Kestävä ja kehittyvä</v>
      </c>
      <c r="F133" t="str">
        <f>Koontitaulukko10[[#This Row],[Alakategoria]]</f>
        <v>11. Asiakaspalvelu ja viestintä on suunniteltua ja läpinäkyvää</v>
      </c>
      <c r="G133" t="str">
        <f>Koontitaulukko10[[#This Row],[Arviointikriteeri]]</f>
        <v>11.6 Laitos tekee asiakastyytyväisyyskyselyn 2-4 vuoden välein.</v>
      </c>
      <c r="H133" t="str">
        <f>Koontitaulukko10[[#This Row],[Huoltovarmuus]]</f>
        <v>Ei</v>
      </c>
      <c r="I133" t="str">
        <f>Koontitaulukko10[[#This Row],[Vastaus ]]</f>
        <v/>
      </c>
      <c r="J133">
        <f>Koontitaulukko10[[#This Row],[Vastaajan kokoluokka]]</f>
        <v>0</v>
      </c>
      <c r="K133" t="str">
        <f>Koontitaulukko10[[#This Row],[Vastaajan toimiala]]</f>
        <v/>
      </c>
      <c r="L133" t="str">
        <f>Koontitaulukko10[[#This Row],[Kunta]]</f>
        <v/>
      </c>
      <c r="M133" t="str">
        <f>Koontitaulukko10[[#This Row],[Vesilaitoksen nimi]]</f>
        <v/>
      </c>
      <c r="N133" s="73" t="str">
        <f>Koontitaulukko10[[#This Row],[Vastauspvm]]</f>
        <v/>
      </c>
      <c r="O133" s="73"/>
    </row>
    <row r="134" spans="1:15" x14ac:dyDescent="0.25">
      <c r="A134" t="str">
        <f>Koontitaulukko10[[#This Row],[Kuuluuko kriteeri kyseisen laitoksen vastattavaksi]]</f>
        <v>Ei kuulu</v>
      </c>
      <c r="B134" t="str">
        <f>Koontitaulukko10[[#This Row],[Extra-kysymys]]</f>
        <v/>
      </c>
      <c r="C134">
        <f>Koontitaulukko10[[#This Row],[Kriteerin kokoluokka]]</f>
        <v>3</v>
      </c>
      <c r="D134" t="str">
        <f>Koontitaulukko10[[#This Row],[Kriteerin toimiala]]</f>
        <v>B,C</v>
      </c>
      <c r="E134" t="str">
        <f>Koontitaulukko10[[#This Row],[Pääkategoria]]</f>
        <v>Kestävä ja kehittyvä</v>
      </c>
      <c r="F134" t="str">
        <f>Koontitaulukko10[[#This Row],[Alakategoria]]</f>
        <v>11. Asiakaspalvelu ja viestintä on suunniteltua ja läpinäkyvää</v>
      </c>
      <c r="G134" t="str">
        <f>Koontitaulukko10[[#This Row],[Arviointikriteeri]]</f>
        <v>11.6 Laitos tekee asiakastyytyväisyyskyselyn 1-2 vuoden välein</v>
      </c>
      <c r="H134" t="str">
        <f>Koontitaulukko10[[#This Row],[Huoltovarmuus]]</f>
        <v>Ei</v>
      </c>
      <c r="I134" t="str">
        <f>Koontitaulukko10[[#This Row],[Vastaus ]]</f>
        <v/>
      </c>
      <c r="J134">
        <f>Koontitaulukko10[[#This Row],[Vastaajan kokoluokka]]</f>
        <v>0</v>
      </c>
      <c r="K134" t="str">
        <f>Koontitaulukko10[[#This Row],[Vastaajan toimiala]]</f>
        <v/>
      </c>
      <c r="L134" t="str">
        <f>Koontitaulukko10[[#This Row],[Kunta]]</f>
        <v/>
      </c>
      <c r="M134" t="str">
        <f>Koontitaulukko10[[#This Row],[Vesilaitoksen nimi]]</f>
        <v/>
      </c>
      <c r="N134" s="73" t="str">
        <f>Koontitaulukko10[[#This Row],[Vastauspvm]]</f>
        <v/>
      </c>
      <c r="O134" s="73"/>
    </row>
    <row r="135" spans="1:15" x14ac:dyDescent="0.25">
      <c r="A135" t="str">
        <f>Koontitaulukko10[[#This Row],[Kuuluuko kriteeri kyseisen laitoksen vastattavaksi]]</f>
        <v>Ei kuulu</v>
      </c>
      <c r="B135" t="str">
        <f>Koontitaulukko10[[#This Row],[Extra-kysymys]]</f>
        <v/>
      </c>
      <c r="C135">
        <f>Koontitaulukko10[[#This Row],[Kriteerin kokoluokka]]</f>
        <v>4</v>
      </c>
      <c r="D135" t="str">
        <f>Koontitaulukko10[[#This Row],[Kriteerin toimiala]]</f>
        <v>B,C</v>
      </c>
      <c r="E135" t="str">
        <f>Koontitaulukko10[[#This Row],[Pääkategoria]]</f>
        <v>Kestävä ja kehittyvä</v>
      </c>
      <c r="F135" t="str">
        <f>Koontitaulukko10[[#This Row],[Alakategoria]]</f>
        <v>11. Asiakaspalvelu ja viestintä on suunniteltua ja läpinäkyvää</v>
      </c>
      <c r="G135" t="str">
        <f>Koontitaulukko10[[#This Row],[Arviointikriteeri]]</f>
        <v>11.6 Laitos tekee asiakastyytyväisyyskyselyn vuosittain.</v>
      </c>
      <c r="H135" t="str">
        <f>Koontitaulukko10[[#This Row],[Huoltovarmuus]]</f>
        <v>Ei</v>
      </c>
      <c r="I135" t="str">
        <f>Koontitaulukko10[[#This Row],[Vastaus ]]</f>
        <v/>
      </c>
      <c r="J135">
        <f>Koontitaulukko10[[#This Row],[Vastaajan kokoluokka]]</f>
        <v>0</v>
      </c>
      <c r="K135" t="str">
        <f>Koontitaulukko10[[#This Row],[Vastaajan toimiala]]</f>
        <v/>
      </c>
      <c r="L135" t="str">
        <f>Koontitaulukko10[[#This Row],[Kunta]]</f>
        <v/>
      </c>
      <c r="M135" t="str">
        <f>Koontitaulukko10[[#This Row],[Vesilaitoksen nimi]]</f>
        <v/>
      </c>
      <c r="N135" s="73" t="str">
        <f>Koontitaulukko10[[#This Row],[Vastauspvm]]</f>
        <v/>
      </c>
      <c r="O135" s="73"/>
    </row>
    <row r="136" spans="1:15" x14ac:dyDescent="0.25">
      <c r="A136" t="str">
        <f>Koontitaulukko10[[#This Row],[Kuuluuko kriteeri kyseisen laitoksen vastattavaksi]]</f>
        <v>Ei kuulu</v>
      </c>
      <c r="B136" t="str">
        <f>Koontitaulukko10[[#This Row],[Extra-kysymys]]</f>
        <v/>
      </c>
      <c r="C136">
        <f>Koontitaulukko10[[#This Row],[Kriteerin kokoluokka]]</f>
        <v>3.4</v>
      </c>
      <c r="D136" t="str">
        <f>Koontitaulukko10[[#This Row],[Kriteerin toimiala]]</f>
        <v>B,C</v>
      </c>
      <c r="E136" t="str">
        <f>Koontitaulukko10[[#This Row],[Pääkategoria]]</f>
        <v>Kestävä ja kehittyvä</v>
      </c>
      <c r="F136" t="str">
        <f>Koontitaulukko10[[#This Row],[Alakategoria]]</f>
        <v>11. Asiakaspalvelu ja viestintä on suunniteltua ja läpinäkyvää</v>
      </c>
      <c r="G136" t="str">
        <f>Koontitaulukko10[[#This Row],[Arviointikriteeri]]</f>
        <v>11.7 Asiakasvalituksiin vastaamiseen on asetettu tavoiteaika.</v>
      </c>
      <c r="H136" t="str">
        <f>Koontitaulukko10[[#This Row],[Huoltovarmuus]]</f>
        <v>Ei</v>
      </c>
      <c r="I136" t="str">
        <f>Koontitaulukko10[[#This Row],[Vastaus ]]</f>
        <v/>
      </c>
      <c r="J136">
        <f>Koontitaulukko10[[#This Row],[Vastaajan kokoluokka]]</f>
        <v>0</v>
      </c>
      <c r="K136" t="str">
        <f>Koontitaulukko10[[#This Row],[Vastaajan toimiala]]</f>
        <v/>
      </c>
      <c r="L136" t="str">
        <f>Koontitaulukko10[[#This Row],[Kunta]]</f>
        <v/>
      </c>
      <c r="M136" t="str">
        <f>Koontitaulukko10[[#This Row],[Vesilaitoksen nimi]]</f>
        <v/>
      </c>
      <c r="N136" s="73" t="str">
        <f>Koontitaulukko10[[#This Row],[Vastauspvm]]</f>
        <v/>
      </c>
      <c r="O136" s="73"/>
    </row>
    <row r="137" spans="1:15" x14ac:dyDescent="0.25">
      <c r="A137" t="str">
        <f>Koontitaulukko10[[#This Row],[Kuuluuko kriteeri kyseisen laitoksen vastattavaksi]]</f>
        <v>Ei kuulu</v>
      </c>
      <c r="B137" t="str">
        <f>Koontitaulukko10[[#This Row],[Extra-kysymys]]</f>
        <v/>
      </c>
      <c r="C137">
        <f>Koontitaulukko10[[#This Row],[Kriteerin kokoluokka]]</f>
        <v>3.4</v>
      </c>
      <c r="D137" t="str">
        <f>Koontitaulukko10[[#This Row],[Kriteerin toimiala]]</f>
        <v>B,C</v>
      </c>
      <c r="E137" t="str">
        <f>Koontitaulukko10[[#This Row],[Pääkategoria]]</f>
        <v>Kestävä ja kehittyvä</v>
      </c>
      <c r="F137" t="str">
        <f>Koontitaulukko10[[#This Row],[Alakategoria]]</f>
        <v>11. Asiakaspalvelu ja viestintä on suunniteltua ja läpinäkyvää</v>
      </c>
      <c r="G137" t="str">
        <f>Koontitaulukko10[[#This Row],[Arviointikriteeri]]</f>
        <v>11.8 Käytössä liittyjäkohtainen kuluttajaviestintä (esim. tekstiviesti-ilmoitus)</v>
      </c>
      <c r="H137" t="str">
        <f>Koontitaulukko10[[#This Row],[Huoltovarmuus]]</f>
        <v>Ei</v>
      </c>
      <c r="I137" t="str">
        <f>Koontitaulukko10[[#This Row],[Vastaus ]]</f>
        <v/>
      </c>
      <c r="J137">
        <f>Koontitaulukko10[[#This Row],[Vastaajan kokoluokka]]</f>
        <v>0</v>
      </c>
      <c r="K137" t="str">
        <f>Koontitaulukko10[[#This Row],[Vastaajan toimiala]]</f>
        <v/>
      </c>
      <c r="L137" t="str">
        <f>Koontitaulukko10[[#This Row],[Kunta]]</f>
        <v/>
      </c>
      <c r="M137" t="str">
        <f>Koontitaulukko10[[#This Row],[Vesilaitoksen nimi]]</f>
        <v/>
      </c>
      <c r="N137" s="73" t="str">
        <f>Koontitaulukko10[[#This Row],[Vastauspvm]]</f>
        <v/>
      </c>
      <c r="O137" s="73"/>
    </row>
    <row r="138" spans="1:15" x14ac:dyDescent="0.25">
      <c r="A138" t="str">
        <f>Koontitaulukko10[[#This Row],[Kuuluuko kriteeri kyseisen laitoksen vastattavaksi]]</f>
        <v>Ei kuulu</v>
      </c>
      <c r="B138" t="str">
        <f>Koontitaulukko10[[#This Row],[Extra-kysymys]]</f>
        <v/>
      </c>
      <c r="C138">
        <f>Koontitaulukko10[[#This Row],[Kriteerin kokoluokka]]</f>
        <v>4</v>
      </c>
      <c r="D138" t="str">
        <f>Koontitaulukko10[[#This Row],[Kriteerin toimiala]]</f>
        <v>B,C</v>
      </c>
      <c r="E138" t="str">
        <f>Koontitaulukko10[[#This Row],[Pääkategoria]]</f>
        <v>Kestävä ja kehittyvä</v>
      </c>
      <c r="F138" t="str">
        <f>Koontitaulukko10[[#This Row],[Alakategoria]]</f>
        <v>11. Asiakaspalvelu ja viestintä on suunniteltua ja läpinäkyvää</v>
      </c>
      <c r="G138" t="str">
        <f>Koontitaulukko10[[#This Row],[Arviointikriteeri]]</f>
        <v>11.9 Sijaintitiedon kannalta oleelliset asiakasvalitukset hallinnoidaan paikkatietona. (esim. johtotietojärjestelmä, kunnossapitojärjestelmä)</v>
      </c>
      <c r="H138" t="str">
        <f>Koontitaulukko10[[#This Row],[Huoltovarmuus]]</f>
        <v>Ei</v>
      </c>
      <c r="I138" t="str">
        <f>Koontitaulukko10[[#This Row],[Vastaus ]]</f>
        <v/>
      </c>
      <c r="J138">
        <f>Koontitaulukko10[[#This Row],[Vastaajan kokoluokka]]</f>
        <v>0</v>
      </c>
      <c r="K138" t="str">
        <f>Koontitaulukko10[[#This Row],[Vastaajan toimiala]]</f>
        <v/>
      </c>
      <c r="L138" t="str">
        <f>Koontitaulukko10[[#This Row],[Kunta]]</f>
        <v/>
      </c>
      <c r="M138" t="str">
        <f>Koontitaulukko10[[#This Row],[Vesilaitoksen nimi]]</f>
        <v/>
      </c>
      <c r="N138" s="73" t="str">
        <f>Koontitaulukko10[[#This Row],[Vastauspvm]]</f>
        <v/>
      </c>
      <c r="O138" s="73"/>
    </row>
    <row r="139" spans="1:15" x14ac:dyDescent="0.25">
      <c r="A139" t="str">
        <f>Koontitaulukko10[[#This Row],[Kuuluuko kriteeri kyseisen laitoksen vastattavaksi]]</f>
        <v>Ei kuulu</v>
      </c>
      <c r="B139" t="str">
        <f>Koontitaulukko10[[#This Row],[Extra-kysymys]]</f>
        <v/>
      </c>
      <c r="C139">
        <f>Koontitaulukko10[[#This Row],[Kriteerin kokoluokka]]</f>
        <v>4</v>
      </c>
      <c r="D139" t="str">
        <f>Koontitaulukko10[[#This Row],[Kriteerin toimiala]]</f>
        <v>B,C</v>
      </c>
      <c r="E139" t="str">
        <f>Koontitaulukko10[[#This Row],[Pääkategoria]]</f>
        <v>Kestävä ja kehittyvä</v>
      </c>
      <c r="F139" t="str">
        <f>Koontitaulukko10[[#This Row],[Alakategoria]]</f>
        <v>11. Asiakaspalvelu ja viestintä on suunniteltua ja läpinäkyvää</v>
      </c>
      <c r="G139" t="str">
        <f>Koontitaulukko10[[#This Row],[Arviointikriteeri]]</f>
        <v>11.10 Asiakastyytyväisyyden tulos tasolla vähintään hyvä.</v>
      </c>
      <c r="H139" t="str">
        <f>Koontitaulukko10[[#This Row],[Huoltovarmuus]]</f>
        <v>Ei</v>
      </c>
      <c r="I139" t="str">
        <f>Koontitaulukko10[[#This Row],[Vastaus ]]</f>
        <v/>
      </c>
      <c r="J139">
        <f>Koontitaulukko10[[#This Row],[Vastaajan kokoluokka]]</f>
        <v>0</v>
      </c>
      <c r="K139" t="str">
        <f>Koontitaulukko10[[#This Row],[Vastaajan toimiala]]</f>
        <v/>
      </c>
      <c r="L139" t="str">
        <f>Koontitaulukko10[[#This Row],[Kunta]]</f>
        <v/>
      </c>
      <c r="M139" t="str">
        <f>Koontitaulukko10[[#This Row],[Vesilaitoksen nimi]]</f>
        <v/>
      </c>
      <c r="N139" s="73" t="str">
        <f>Koontitaulukko10[[#This Row],[Vastauspvm]]</f>
        <v/>
      </c>
      <c r="O139" s="73"/>
    </row>
    <row r="140" spans="1:15" x14ac:dyDescent="0.25">
      <c r="A140" t="str">
        <f>Koontitaulukko10[[#This Row],[Kuuluuko kriteeri kyseisen laitoksen vastattavaksi]]</f>
        <v>Ei kuulu</v>
      </c>
      <c r="B140" t="str">
        <f>Koontitaulukko10[[#This Row],[Extra-kysymys]]</f>
        <v/>
      </c>
      <c r="C140">
        <f>Koontitaulukko10[[#This Row],[Kriteerin kokoluokka]]</f>
        <v>4</v>
      </c>
      <c r="D140" t="str">
        <f>Koontitaulukko10[[#This Row],[Kriteerin toimiala]]</f>
        <v>B,C</v>
      </c>
      <c r="E140" t="str">
        <f>Koontitaulukko10[[#This Row],[Pääkategoria]]</f>
        <v>Kestävä ja kehittyvä</v>
      </c>
      <c r="F140" t="str">
        <f>Koontitaulukko10[[#This Row],[Alakategoria]]</f>
        <v>11. Asiakaspalvelu ja viestintä on suunniteltua ja läpinäkyvää</v>
      </c>
      <c r="G140" t="str">
        <f>Koontitaulukko10[[#This Row],[Arviointikriteeri]]</f>
        <v>11.11 Asiakaspalvelua kehitetään asiakastyytyväisyyskyselyjen lisäksi yhteistyössä asiakkaiden kanssa. (esim. säännöllinen asiakasfoorumi, isännöitsijätapaamiset)</v>
      </c>
      <c r="H140" t="str">
        <f>Koontitaulukko10[[#This Row],[Huoltovarmuus]]</f>
        <v>Ei</v>
      </c>
      <c r="I140" t="str">
        <f>Koontitaulukko10[[#This Row],[Vastaus ]]</f>
        <v/>
      </c>
      <c r="J140">
        <f>Koontitaulukko10[[#This Row],[Vastaajan kokoluokka]]</f>
        <v>0</v>
      </c>
      <c r="K140" t="str">
        <f>Koontitaulukko10[[#This Row],[Vastaajan toimiala]]</f>
        <v/>
      </c>
      <c r="L140" t="str">
        <f>Koontitaulukko10[[#This Row],[Kunta]]</f>
        <v/>
      </c>
      <c r="M140" t="str">
        <f>Koontitaulukko10[[#This Row],[Vesilaitoksen nimi]]</f>
        <v/>
      </c>
      <c r="N140" s="73" t="str">
        <f>Koontitaulukko10[[#This Row],[Vastauspvm]]</f>
        <v/>
      </c>
      <c r="O140" s="73"/>
    </row>
    <row r="141" spans="1:15" x14ac:dyDescent="0.25">
      <c r="A141" t="str">
        <f>Koontitaulukko10[[#This Row],[Kuuluuko kriteeri kyseisen laitoksen vastattavaksi]]</f>
        <v>Ei kuulu</v>
      </c>
      <c r="B141" t="str">
        <f>Koontitaulukko10[[#This Row],[Extra-kysymys]]</f>
        <v/>
      </c>
      <c r="C141">
        <f>Koontitaulukko10[[#This Row],[Kriteerin kokoluokka]]</f>
        <v>4</v>
      </c>
      <c r="D141" t="str">
        <f>Koontitaulukko10[[#This Row],[Kriteerin toimiala]]</f>
        <v>B,C</v>
      </c>
      <c r="E141" t="str">
        <f>Koontitaulukko10[[#This Row],[Pääkategoria]]</f>
        <v>Kestävä ja kehittyvä</v>
      </c>
      <c r="F141" t="str">
        <f>Koontitaulukko10[[#This Row],[Alakategoria]]</f>
        <v>11. Asiakaspalvelu ja viestintä on suunniteltua ja läpinäkyvää</v>
      </c>
      <c r="G141" t="str">
        <f>Koontitaulukko10[[#This Row],[Arviointikriteeri]]</f>
        <v>11.12 Asiakaspalvelulle on määritelty palvelutaso normaalitoiminnassa ja häiriötilanteissa.</v>
      </c>
      <c r="H141" t="str">
        <f>Koontitaulukko10[[#This Row],[Huoltovarmuus]]</f>
        <v>Ei</v>
      </c>
      <c r="I141" t="str">
        <f>Koontitaulukko10[[#This Row],[Vastaus ]]</f>
        <v/>
      </c>
      <c r="J141">
        <f>Koontitaulukko10[[#This Row],[Vastaajan kokoluokka]]</f>
        <v>0</v>
      </c>
      <c r="K141" t="str">
        <f>Koontitaulukko10[[#This Row],[Vastaajan toimiala]]</f>
        <v/>
      </c>
      <c r="L141" t="str">
        <f>Koontitaulukko10[[#This Row],[Kunta]]</f>
        <v/>
      </c>
      <c r="M141" t="str">
        <f>Koontitaulukko10[[#This Row],[Vesilaitoksen nimi]]</f>
        <v/>
      </c>
      <c r="N141" s="73" t="str">
        <f>Koontitaulukko10[[#This Row],[Vastauspvm]]</f>
        <v/>
      </c>
      <c r="O141" s="73"/>
    </row>
    <row r="142" spans="1:15" x14ac:dyDescent="0.25">
      <c r="A142" t="str">
        <f>Koontitaulukko10[[#This Row],[Kuuluuko kriteeri kyseisen laitoksen vastattavaksi]]</f>
        <v>Ei kuulu</v>
      </c>
      <c r="B142" t="str">
        <f>Koontitaulukko10[[#This Row],[Extra-kysymys]]</f>
        <v/>
      </c>
      <c r="C142">
        <f>Koontitaulukko10[[#This Row],[Kriteerin kokoluokka]]</f>
        <v>5</v>
      </c>
      <c r="D142" t="str">
        <f>Koontitaulukko10[[#This Row],[Kriteerin toimiala]]</f>
        <v>B,C</v>
      </c>
      <c r="E142" t="str">
        <f>Koontitaulukko10[[#This Row],[Pääkategoria]]</f>
        <v>Kestävä ja kehittyvä</v>
      </c>
      <c r="F142" t="str">
        <f>Koontitaulukko10[[#This Row],[Alakategoria]]</f>
        <v>11. Asiakaspalvelu ja viestintä on suunniteltua ja läpinäkyvää</v>
      </c>
      <c r="G142" t="str">
        <f>Koontitaulukko10[[#This Row],[Arviointikriteeri]]</f>
        <v>11.13 Asiakastyytyväisyyden jatkuva seuranta aina asiakaskohtaamisen yhteydessä</v>
      </c>
      <c r="H142" t="str">
        <f>Koontitaulukko10[[#This Row],[Huoltovarmuus]]</f>
        <v>Ei</v>
      </c>
      <c r="I142" t="str">
        <f>Koontitaulukko10[[#This Row],[Vastaus ]]</f>
        <v/>
      </c>
      <c r="J142">
        <f>Koontitaulukko10[[#This Row],[Vastaajan kokoluokka]]</f>
        <v>0</v>
      </c>
      <c r="K142" t="str">
        <f>Koontitaulukko10[[#This Row],[Vastaajan toimiala]]</f>
        <v/>
      </c>
      <c r="L142" t="str">
        <f>Koontitaulukko10[[#This Row],[Kunta]]</f>
        <v/>
      </c>
      <c r="M142" t="str">
        <f>Koontitaulukko10[[#This Row],[Vesilaitoksen nimi]]</f>
        <v/>
      </c>
      <c r="N142" s="73" t="str">
        <f>Koontitaulukko10[[#This Row],[Vastauspvm]]</f>
        <v/>
      </c>
      <c r="O142" s="73"/>
    </row>
    <row r="143" spans="1:15" x14ac:dyDescent="0.25">
      <c r="A143" t="str">
        <f>Koontitaulukko10[[#This Row],[Kuuluuko kriteeri kyseisen laitoksen vastattavaksi]]</f>
        <v>Ei kuulu</v>
      </c>
      <c r="B143" t="str">
        <f>Koontitaulukko10[[#This Row],[Extra-kysymys]]</f>
        <v/>
      </c>
      <c r="C143">
        <f>Koontitaulukko10[[#This Row],[Kriteerin kokoluokka]]</f>
        <v>5</v>
      </c>
      <c r="D143" t="str">
        <f>Koontitaulukko10[[#This Row],[Kriteerin toimiala]]</f>
        <v>B,C</v>
      </c>
      <c r="E143" t="str">
        <f>Koontitaulukko10[[#This Row],[Pääkategoria]]</f>
        <v>Kestävä ja kehittyvä</v>
      </c>
      <c r="F143" t="str">
        <f>Koontitaulukko10[[#This Row],[Alakategoria]]</f>
        <v>11. Asiakaspalvelu ja viestintä on suunniteltua ja läpinäkyvää</v>
      </c>
      <c r="G143" t="str">
        <f>Koontitaulukko10[[#This Row],[Arviointikriteeri]]</f>
        <v>11.14 Asiakkaille tarjotaan kohderyhmittäin räätälöityjä lisäpalveluja kulutustietojen, asioinnin yms. suhteen, esim. etäluenta, ladattava äppi tms.</v>
      </c>
      <c r="H143" t="str">
        <f>Koontitaulukko10[[#This Row],[Huoltovarmuus]]</f>
        <v>Ei</v>
      </c>
      <c r="I143" t="str">
        <f>Koontitaulukko10[[#This Row],[Vastaus ]]</f>
        <v/>
      </c>
      <c r="J143">
        <f>Koontitaulukko10[[#This Row],[Vastaajan kokoluokka]]</f>
        <v>0</v>
      </c>
      <c r="K143" t="str">
        <f>Koontitaulukko10[[#This Row],[Vastaajan toimiala]]</f>
        <v/>
      </c>
      <c r="L143" t="str">
        <f>Koontitaulukko10[[#This Row],[Kunta]]</f>
        <v/>
      </c>
      <c r="M143" t="str">
        <f>Koontitaulukko10[[#This Row],[Vesilaitoksen nimi]]</f>
        <v/>
      </c>
      <c r="N143" s="73" t="str">
        <f>Koontitaulukko10[[#This Row],[Vastauspvm]]</f>
        <v/>
      </c>
      <c r="O143" s="73"/>
    </row>
  </sheetData>
  <pageMargins left="0.7" right="0.7" top="0.75" bottom="0.75" header="0.3" footer="0.3"/>
  <pageSetup paperSize="9" orientation="portrait" horizontalDpi="4294967293"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F8CF8-66CF-43D0-8CBF-90D0B0827256}">
  <sheetPr codeName="Sheet5">
    <tabColor rgb="FFFF0000"/>
  </sheetPr>
  <dimension ref="A1:Q32"/>
  <sheetViews>
    <sheetView workbookViewId="0">
      <selection activeCell="P23" sqref="P23"/>
    </sheetView>
  </sheetViews>
  <sheetFormatPr defaultRowHeight="15" x14ac:dyDescent="0.25"/>
  <cols>
    <col min="2" max="2" width="19.42578125" customWidth="1"/>
    <col min="8" max="8" width="0" hidden="1" customWidth="1"/>
  </cols>
  <sheetData>
    <row r="1" spans="1:17" ht="26.25" x14ac:dyDescent="0.4">
      <c r="A1" s="13" t="s">
        <v>181</v>
      </c>
    </row>
    <row r="4" spans="1:17" x14ac:dyDescent="0.25">
      <c r="B4" s="39" t="s">
        <v>214</v>
      </c>
      <c r="C4" s="40"/>
      <c r="D4" s="40"/>
      <c r="E4" s="40"/>
      <c r="F4" s="40"/>
      <c r="G4" s="39" t="s">
        <v>215</v>
      </c>
      <c r="H4" s="40"/>
      <c r="I4" s="40"/>
      <c r="J4" s="40"/>
      <c r="K4" s="40"/>
      <c r="L4" s="40"/>
      <c r="M4" s="39" t="s">
        <v>220</v>
      </c>
      <c r="N4" s="40"/>
      <c r="O4" s="40"/>
      <c r="P4" s="40"/>
      <c r="Q4" t="s">
        <v>216</v>
      </c>
    </row>
    <row r="5" spans="1:17" x14ac:dyDescent="0.25">
      <c r="B5" s="15">
        <f>IF(LEN(Lähtötiedot!C15)&gt;0,1,0)</f>
        <v>0</v>
      </c>
      <c r="C5" t="s">
        <v>169</v>
      </c>
      <c r="G5" s="46" t="b">
        <v>0</v>
      </c>
      <c r="H5" s="15" t="str">
        <f>IF(LEN(Lähtötiedot!$H15)&gt;0,"A","X")</f>
        <v>X</v>
      </c>
      <c r="I5" s="15" t="str">
        <f>IF(G5,"A","X")</f>
        <v>X</v>
      </c>
      <c r="J5" t="s">
        <v>170</v>
      </c>
      <c r="M5">
        <f>COUNTA(Lähtötiedot!O15:S18)</f>
        <v>0</v>
      </c>
      <c r="Q5" t="s">
        <v>268</v>
      </c>
    </row>
    <row r="6" spans="1:17" x14ac:dyDescent="0.25">
      <c r="B6" s="15">
        <f>IF(LEN(Lähtötiedot!C16)&gt;0,2,0)</f>
        <v>0</v>
      </c>
      <c r="C6" t="s">
        <v>168</v>
      </c>
      <c r="G6" s="46" t="b">
        <v>0</v>
      </c>
      <c r="H6" s="15" t="str">
        <f>IF(LEN(Lähtötiedot!$H16)&gt;0,"A","X")</f>
        <v>X</v>
      </c>
      <c r="I6" s="15" t="str">
        <f>IF(G6,"B","X")</f>
        <v>X</v>
      </c>
      <c r="J6" t="s">
        <v>171</v>
      </c>
    </row>
    <row r="7" spans="1:17" x14ac:dyDescent="0.25">
      <c r="B7" s="15">
        <f>IF(LEN(Lähtötiedot!C17)&gt;0,3,0)</f>
        <v>0</v>
      </c>
      <c r="C7" t="s">
        <v>167</v>
      </c>
      <c r="G7" s="46" t="b">
        <v>0</v>
      </c>
      <c r="H7" s="15" t="str">
        <f>IF(LEN(Lähtötiedot!$H17)&gt;0,"A","X")</f>
        <v>X</v>
      </c>
      <c r="I7" s="15" t="str">
        <f>IF(G7,"C","X")</f>
        <v>X</v>
      </c>
      <c r="J7" t="s">
        <v>172</v>
      </c>
    </row>
    <row r="8" spans="1:17" x14ac:dyDescent="0.25">
      <c r="B8" s="15">
        <f>IF(LEN(Lähtötiedot!C18)&gt;0,4,0)</f>
        <v>0</v>
      </c>
      <c r="C8" t="s">
        <v>166</v>
      </c>
      <c r="G8" s="46" t="b">
        <v>0</v>
      </c>
      <c r="H8" s="15" t="str">
        <f>IF(LEN(Lähtötiedot!$H18)&gt;0,"A","X")</f>
        <v>X</v>
      </c>
      <c r="I8" s="15" t="str">
        <f>IF(G8,"D","X")</f>
        <v>X</v>
      </c>
      <c r="J8" t="s">
        <v>173</v>
      </c>
    </row>
    <row r="9" spans="1:17" ht="15.75" thickBot="1" x14ac:dyDescent="0.3"/>
    <row r="10" spans="1:17" ht="15.75" thickBot="1" x14ac:dyDescent="0.3">
      <c r="B10" s="44">
        <v>0</v>
      </c>
      <c r="C10" s="14" t="s">
        <v>182</v>
      </c>
    </row>
    <row r="12" spans="1:17" ht="15.75" thickBot="1" x14ac:dyDescent="0.3">
      <c r="B12" s="39" t="s">
        <v>213</v>
      </c>
      <c r="C12" s="39"/>
      <c r="D12" s="39"/>
      <c r="E12" s="39"/>
      <c r="F12" s="39"/>
      <c r="G12" s="39"/>
      <c r="H12" s="39"/>
      <c r="I12" s="39"/>
      <c r="J12" s="39"/>
      <c r="K12" s="39"/>
      <c r="L12" s="39"/>
      <c r="M12" s="39"/>
      <c r="N12" s="39"/>
      <c r="O12" s="39"/>
      <c r="P12" s="39"/>
    </row>
    <row r="13" spans="1:17" x14ac:dyDescent="0.25">
      <c r="B13" s="41">
        <f>IF(B5=1,1,0)</f>
        <v>0</v>
      </c>
      <c r="C13" t="s">
        <v>219</v>
      </c>
      <c r="I13" s="41" t="str">
        <f>IF(I5="X","",I5)</f>
        <v/>
      </c>
    </row>
    <row r="14" spans="1:17" x14ac:dyDescent="0.25">
      <c r="B14" s="42">
        <f t="shared" ref="B14:B15" si="0">IF(B6=1,1,0)</f>
        <v>0</v>
      </c>
      <c r="C14" t="s">
        <v>217</v>
      </c>
      <c r="I14" s="42" t="str">
        <f t="shared" ref="I14:I16" si="1">IF(I6="X","",I6)</f>
        <v/>
      </c>
    </row>
    <row r="15" spans="1:17" x14ac:dyDescent="0.25">
      <c r="B15" s="42">
        <f t="shared" si="0"/>
        <v>0</v>
      </c>
      <c r="I15" s="42" t="str">
        <f>IF(I7="X","",I7)</f>
        <v/>
      </c>
    </row>
    <row r="16" spans="1:17" ht="15.75" thickBot="1" x14ac:dyDescent="0.3">
      <c r="B16" s="43">
        <f>IF(B8=4,1,0)</f>
        <v>0</v>
      </c>
      <c r="I16" s="43" t="str">
        <f t="shared" si="1"/>
        <v/>
      </c>
    </row>
    <row r="17" spans="1:16" ht="15.75" thickBot="1" x14ac:dyDescent="0.3">
      <c r="I17" s="44">
        <f>COUNTBLANK(I13:I16)</f>
        <v>4</v>
      </c>
    </row>
    <row r="18" spans="1:16" ht="15.75" thickBot="1" x14ac:dyDescent="0.3">
      <c r="B18" s="44">
        <f>SUM(B13:B16)</f>
        <v>0</v>
      </c>
      <c r="I18" s="44" t="str">
        <f>CONCATENATE(I13,I14,I15,I16)</f>
        <v/>
      </c>
    </row>
    <row r="20" spans="1:16" ht="15.75" thickBot="1" x14ac:dyDescent="0.3">
      <c r="B20" s="39" t="s">
        <v>212</v>
      </c>
      <c r="C20" s="39"/>
      <c r="D20" s="39"/>
      <c r="E20" s="39"/>
      <c r="F20" s="39"/>
      <c r="G20" s="39"/>
      <c r="H20" s="39"/>
      <c r="I20" s="39"/>
      <c r="J20" s="39"/>
      <c r="K20" s="39"/>
      <c r="L20" s="39"/>
      <c r="M20" s="39"/>
      <c r="N20" s="39"/>
      <c r="O20" s="39"/>
      <c r="P20" s="39"/>
    </row>
    <row r="21" spans="1:16" ht="15.75" thickBot="1" x14ac:dyDescent="0.3">
      <c r="B21" s="178" t="str">
        <f>IF(B10=0,"1) Valitse kokoluokka","Valittu kokoluokka = "&amp;B10)</f>
        <v>1) Valitse kokoluokka</v>
      </c>
      <c r="C21" s="179"/>
      <c r="D21" s="180"/>
      <c r="I21" s="178" t="str">
        <f>IF(COUNTBLANK(I13:I16)=4,"2) Valitse toimiala",CONCATENATE("Valittu toimiala(t) " &amp; I18))</f>
        <v>2) Valitse toimiala</v>
      </c>
      <c r="J21" s="179"/>
      <c r="K21" s="180"/>
      <c r="M21" s="178" t="str">
        <f>IF(M5=0,"3) Kirjaa vastaajan tiedot",IF(COUNTA(Lähtötiedot!O16)&gt;0,"Vesilaitos: "&amp;Lähtötiedot!O16,"Vesilaitoksen nimi puuttuu"))</f>
        <v>3) Kirjaa vastaajan tiedot</v>
      </c>
      <c r="N21" s="179"/>
      <c r="O21" s="180"/>
    </row>
    <row r="27" spans="1:16" ht="26.25" x14ac:dyDescent="0.4">
      <c r="A27" s="13" t="s">
        <v>245</v>
      </c>
    </row>
    <row r="29" spans="1:16" x14ac:dyDescent="0.25">
      <c r="B29" s="10" t="s">
        <v>180</v>
      </c>
    </row>
    <row r="30" spans="1:16" x14ac:dyDescent="0.25">
      <c r="B30" t="s">
        <v>177</v>
      </c>
    </row>
    <row r="31" spans="1:16" x14ac:dyDescent="0.25">
      <c r="B31" t="s">
        <v>178</v>
      </c>
    </row>
    <row r="32" spans="1:16" x14ac:dyDescent="0.25">
      <c r="B32" t="s">
        <v>179</v>
      </c>
    </row>
  </sheetData>
  <mergeCells count="3">
    <mergeCell ref="B21:D21"/>
    <mergeCell ref="I21:K21"/>
    <mergeCell ref="M21:O21"/>
  </mergeCells>
  <pageMargins left="0.7" right="0.7" top="0.75" bottom="0.75" header="0.3" footer="0.3"/>
  <pageSetup paperSize="9"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CFCF9-C18E-4212-B862-EF7151FE9E6C}">
  <sheetPr codeName="Sheet1">
    <tabColor rgb="FFFF0000"/>
  </sheetPr>
  <dimension ref="A1:F133"/>
  <sheetViews>
    <sheetView workbookViewId="0"/>
  </sheetViews>
  <sheetFormatPr defaultColWidth="8.85546875" defaultRowHeight="15" x14ac:dyDescent="0.25"/>
  <cols>
    <col min="1" max="1" width="9.140625" style="1" bestFit="1" customWidth="1"/>
    <col min="2" max="2" width="27.140625" style="1" bestFit="1" customWidth="1"/>
    <col min="3" max="3" width="87.140625" style="1" bestFit="1" customWidth="1"/>
    <col min="4" max="4" width="116.85546875" style="1" bestFit="1" customWidth="1"/>
    <col min="5" max="5" width="10.140625" style="1" bestFit="1" customWidth="1"/>
    <col min="6" max="6" width="16" style="1" bestFit="1" customWidth="1"/>
    <col min="7" max="16384" width="8.85546875" style="1"/>
  </cols>
  <sheetData>
    <row r="1" spans="1:6" x14ac:dyDescent="0.25">
      <c r="A1" s="4" t="s">
        <v>0</v>
      </c>
      <c r="B1" s="4" t="s">
        <v>1</v>
      </c>
      <c r="C1" s="4" t="s">
        <v>2</v>
      </c>
      <c r="D1" s="4" t="s">
        <v>3</v>
      </c>
      <c r="E1" s="5" t="s">
        <v>4</v>
      </c>
      <c r="F1" s="5" t="s">
        <v>5</v>
      </c>
    </row>
    <row r="2" spans="1:6" x14ac:dyDescent="0.25">
      <c r="A2" s="3" t="s">
        <v>6</v>
      </c>
      <c r="B2" s="3" t="s">
        <v>7</v>
      </c>
      <c r="C2" s="3" t="s">
        <v>8</v>
      </c>
      <c r="D2" s="3" t="s">
        <v>9</v>
      </c>
      <c r="E2" s="3" t="s">
        <v>10</v>
      </c>
      <c r="F2" s="3" t="s">
        <v>11</v>
      </c>
    </row>
    <row r="3" spans="1:6" x14ac:dyDescent="0.25">
      <c r="A3" s="6" t="s">
        <v>12</v>
      </c>
      <c r="B3" s="3" t="s">
        <v>7</v>
      </c>
      <c r="C3" s="3" t="s">
        <v>8</v>
      </c>
      <c r="D3" s="6" t="s">
        <v>13</v>
      </c>
      <c r="E3" s="3" t="s">
        <v>10</v>
      </c>
      <c r="F3" s="3" t="s">
        <v>11</v>
      </c>
    </row>
    <row r="4" spans="1:6" x14ac:dyDescent="0.25">
      <c r="A4" s="3" t="s">
        <v>12</v>
      </c>
      <c r="B4" s="3" t="s">
        <v>7</v>
      </c>
      <c r="C4" s="3" t="s">
        <v>8</v>
      </c>
      <c r="D4" s="3" t="s">
        <v>14</v>
      </c>
      <c r="E4" s="3" t="s">
        <v>10</v>
      </c>
      <c r="F4" s="3" t="s">
        <v>11</v>
      </c>
    </row>
    <row r="5" spans="1:6" x14ac:dyDescent="0.25">
      <c r="A5" s="3" t="s">
        <v>12</v>
      </c>
      <c r="B5" s="3" t="s">
        <v>7</v>
      </c>
      <c r="C5" s="3" t="s">
        <v>8</v>
      </c>
      <c r="D5" s="3" t="s">
        <v>15</v>
      </c>
      <c r="E5" s="3" t="s">
        <v>10</v>
      </c>
      <c r="F5" s="3"/>
    </row>
    <row r="6" spans="1:6" x14ac:dyDescent="0.25">
      <c r="A6" s="3" t="s">
        <v>12</v>
      </c>
      <c r="B6" s="3" t="s">
        <v>7</v>
      </c>
      <c r="C6" s="3" t="s">
        <v>8</v>
      </c>
      <c r="D6" s="3" t="s">
        <v>16</v>
      </c>
      <c r="E6" s="3" t="s">
        <v>17</v>
      </c>
      <c r="F6" s="3"/>
    </row>
    <row r="7" spans="1:6" x14ac:dyDescent="0.25">
      <c r="A7" s="6" t="s">
        <v>12</v>
      </c>
      <c r="B7" s="3" t="s">
        <v>7</v>
      </c>
      <c r="C7" s="3" t="s">
        <v>8</v>
      </c>
      <c r="D7" s="6" t="s">
        <v>18</v>
      </c>
      <c r="E7" s="3" t="s">
        <v>17</v>
      </c>
      <c r="F7" s="3"/>
    </row>
    <row r="8" spans="1:6" x14ac:dyDescent="0.25">
      <c r="A8" s="6" t="s">
        <v>19</v>
      </c>
      <c r="B8" s="3" t="s">
        <v>7</v>
      </c>
      <c r="C8" s="3" t="s">
        <v>8</v>
      </c>
      <c r="D8" s="3" t="s">
        <v>20</v>
      </c>
      <c r="E8" s="3" t="s">
        <v>21</v>
      </c>
      <c r="F8" s="3"/>
    </row>
    <row r="9" spans="1:6" x14ac:dyDescent="0.25">
      <c r="A9" s="6">
        <v>4</v>
      </c>
      <c r="B9" s="3" t="s">
        <v>7</v>
      </c>
      <c r="C9" s="3" t="s">
        <v>8</v>
      </c>
      <c r="D9" s="6" t="s">
        <v>22</v>
      </c>
      <c r="E9" s="3" t="s">
        <v>21</v>
      </c>
      <c r="F9" s="3"/>
    </row>
    <row r="10" spans="1:6" x14ac:dyDescent="0.25">
      <c r="A10" s="6">
        <v>4</v>
      </c>
      <c r="B10" s="3" t="s">
        <v>7</v>
      </c>
      <c r="C10" s="6" t="s">
        <v>8</v>
      </c>
      <c r="D10" s="3" t="s">
        <v>23</v>
      </c>
      <c r="E10" s="6" t="s">
        <v>21</v>
      </c>
      <c r="F10" s="6" t="s">
        <v>11</v>
      </c>
    </row>
    <row r="11" spans="1:6" x14ac:dyDescent="0.25">
      <c r="A11" s="6">
        <v>4</v>
      </c>
      <c r="B11" s="3" t="s">
        <v>7</v>
      </c>
      <c r="C11" s="6" t="s">
        <v>8</v>
      </c>
      <c r="D11" s="3" t="s">
        <v>24</v>
      </c>
      <c r="E11" s="6" t="s">
        <v>17</v>
      </c>
      <c r="F11" s="6"/>
    </row>
    <row r="12" spans="1:6" x14ac:dyDescent="0.25">
      <c r="A12" s="3">
        <v>5</v>
      </c>
      <c r="B12" s="3" t="s">
        <v>7</v>
      </c>
      <c r="C12" s="6" t="s">
        <v>8</v>
      </c>
      <c r="D12" s="3" t="s">
        <v>25</v>
      </c>
      <c r="E12" s="6" t="s">
        <v>21</v>
      </c>
      <c r="F12" s="6"/>
    </row>
    <row r="13" spans="1:6" x14ac:dyDescent="0.25">
      <c r="A13" s="7" t="s">
        <v>12</v>
      </c>
      <c r="B13" s="3" t="s">
        <v>7</v>
      </c>
      <c r="C13" s="6" t="s">
        <v>26</v>
      </c>
      <c r="D13" s="7" t="s">
        <v>27</v>
      </c>
      <c r="E13" s="7" t="s">
        <v>28</v>
      </c>
      <c r="F13" s="7" t="s">
        <v>11</v>
      </c>
    </row>
    <row r="14" spans="1:6" x14ac:dyDescent="0.25">
      <c r="A14" s="2" t="s">
        <v>12</v>
      </c>
      <c r="B14" s="3" t="s">
        <v>7</v>
      </c>
      <c r="C14" s="6" t="s">
        <v>26</v>
      </c>
      <c r="D14" s="6" t="s">
        <v>29</v>
      </c>
      <c r="E14" s="6" t="s">
        <v>10</v>
      </c>
      <c r="F14" s="2" t="s">
        <v>11</v>
      </c>
    </row>
    <row r="15" spans="1:6" ht="30" x14ac:dyDescent="0.25">
      <c r="A15" s="2" t="s">
        <v>12</v>
      </c>
      <c r="B15" s="3" t="s">
        <v>7</v>
      </c>
      <c r="C15" s="6" t="s">
        <v>26</v>
      </c>
      <c r="D15" s="2" t="s">
        <v>30</v>
      </c>
      <c r="E15" s="6" t="s">
        <v>31</v>
      </c>
      <c r="F15" s="2" t="s">
        <v>11</v>
      </c>
    </row>
    <row r="16" spans="1:6" ht="30" x14ac:dyDescent="0.25">
      <c r="A16" s="2" t="s">
        <v>12</v>
      </c>
      <c r="B16" s="3" t="s">
        <v>7</v>
      </c>
      <c r="C16" s="6" t="s">
        <v>26</v>
      </c>
      <c r="D16" s="2" t="s">
        <v>32</v>
      </c>
      <c r="E16" s="6" t="s">
        <v>28</v>
      </c>
      <c r="F16" s="2" t="s">
        <v>11</v>
      </c>
    </row>
    <row r="17" spans="1:6" ht="30" x14ac:dyDescent="0.25">
      <c r="A17" s="2" t="s">
        <v>12</v>
      </c>
      <c r="B17" s="3" t="s">
        <v>7</v>
      </c>
      <c r="C17" s="6" t="s">
        <v>26</v>
      </c>
      <c r="D17" s="2" t="s">
        <v>33</v>
      </c>
      <c r="E17" s="6" t="s">
        <v>28</v>
      </c>
      <c r="F17" s="2" t="s">
        <v>11</v>
      </c>
    </row>
    <row r="18" spans="1:6" ht="30" x14ac:dyDescent="0.25">
      <c r="A18" s="2" t="s">
        <v>12</v>
      </c>
      <c r="B18" s="3" t="s">
        <v>7</v>
      </c>
      <c r="C18" s="6" t="s">
        <v>26</v>
      </c>
      <c r="D18" s="2" t="s">
        <v>34</v>
      </c>
      <c r="E18" s="6" t="s">
        <v>10</v>
      </c>
      <c r="F18" s="2" t="s">
        <v>11</v>
      </c>
    </row>
    <row r="19" spans="1:6" x14ac:dyDescent="0.25">
      <c r="A19" s="2" t="s">
        <v>12</v>
      </c>
      <c r="B19" s="3" t="s">
        <v>7</v>
      </c>
      <c r="C19" s="6" t="s">
        <v>26</v>
      </c>
      <c r="D19" s="6" t="s">
        <v>35</v>
      </c>
      <c r="E19" s="6" t="s">
        <v>28</v>
      </c>
      <c r="F19" s="2" t="s">
        <v>11</v>
      </c>
    </row>
    <row r="20" spans="1:6" x14ac:dyDescent="0.25">
      <c r="A20" s="2" t="s">
        <v>12</v>
      </c>
      <c r="B20" s="3" t="s">
        <v>7</v>
      </c>
      <c r="C20" s="6" t="s">
        <v>26</v>
      </c>
      <c r="D20" s="6" t="s">
        <v>36</v>
      </c>
      <c r="E20" s="6" t="s">
        <v>28</v>
      </c>
      <c r="F20" s="2" t="s">
        <v>11</v>
      </c>
    </row>
    <row r="21" spans="1:6" x14ac:dyDescent="0.25">
      <c r="A21" s="2" t="s">
        <v>12</v>
      </c>
      <c r="B21" s="3" t="s">
        <v>7</v>
      </c>
      <c r="C21" s="6" t="s">
        <v>26</v>
      </c>
      <c r="D21" s="6" t="s">
        <v>37</v>
      </c>
      <c r="E21" s="6" t="s">
        <v>28</v>
      </c>
      <c r="F21" s="2" t="s">
        <v>11</v>
      </c>
    </row>
    <row r="22" spans="1:6" ht="30" x14ac:dyDescent="0.25">
      <c r="A22" s="2" t="s">
        <v>12</v>
      </c>
      <c r="B22" s="3" t="s">
        <v>7</v>
      </c>
      <c r="C22" s="6" t="s">
        <v>26</v>
      </c>
      <c r="D22" s="2" t="s">
        <v>38</v>
      </c>
      <c r="E22" s="6" t="s">
        <v>28</v>
      </c>
      <c r="F22" s="2" t="s">
        <v>11</v>
      </c>
    </row>
    <row r="23" spans="1:6" ht="30" x14ac:dyDescent="0.25">
      <c r="A23" s="2">
        <v>1.2</v>
      </c>
      <c r="B23" s="3" t="s">
        <v>7</v>
      </c>
      <c r="C23" s="6" t="s">
        <v>26</v>
      </c>
      <c r="D23" s="2" t="s">
        <v>39</v>
      </c>
      <c r="E23" s="6" t="s">
        <v>10</v>
      </c>
      <c r="F23" s="6"/>
    </row>
    <row r="24" spans="1:6" ht="30" x14ac:dyDescent="0.25">
      <c r="A24" s="6" t="s">
        <v>40</v>
      </c>
      <c r="B24" s="3" t="s">
        <v>7</v>
      </c>
      <c r="C24" s="6" t="s">
        <v>26</v>
      </c>
      <c r="D24" s="2" t="s">
        <v>41</v>
      </c>
      <c r="E24" s="6" t="s">
        <v>10</v>
      </c>
      <c r="F24" s="6" t="s">
        <v>11</v>
      </c>
    </row>
    <row r="25" spans="1:6" ht="60" x14ac:dyDescent="0.25">
      <c r="A25" s="6" t="s">
        <v>12</v>
      </c>
      <c r="B25" s="3" t="s">
        <v>7</v>
      </c>
      <c r="C25" s="6" t="s">
        <v>26</v>
      </c>
      <c r="D25" s="2" t="s">
        <v>42</v>
      </c>
      <c r="E25" s="6" t="s">
        <v>10</v>
      </c>
      <c r="F25" s="2" t="s">
        <v>11</v>
      </c>
    </row>
    <row r="26" spans="1:6" ht="45" x14ac:dyDescent="0.25">
      <c r="A26" s="6" t="s">
        <v>12</v>
      </c>
      <c r="B26" s="3" t="s">
        <v>7</v>
      </c>
      <c r="C26" s="6" t="s">
        <v>26</v>
      </c>
      <c r="D26" s="2" t="s">
        <v>43</v>
      </c>
      <c r="E26" s="6" t="s">
        <v>44</v>
      </c>
      <c r="F26" s="6" t="s">
        <v>11</v>
      </c>
    </row>
    <row r="27" spans="1:6" x14ac:dyDescent="0.25">
      <c r="A27" s="6" t="s">
        <v>12</v>
      </c>
      <c r="B27" s="3" t="s">
        <v>7</v>
      </c>
      <c r="C27" s="6" t="s">
        <v>26</v>
      </c>
      <c r="D27" s="2" t="s">
        <v>45</v>
      </c>
      <c r="E27" s="6" t="s">
        <v>28</v>
      </c>
      <c r="F27" s="6" t="s">
        <v>11</v>
      </c>
    </row>
    <row r="28" spans="1:6" ht="45" x14ac:dyDescent="0.25">
      <c r="A28" s="6" t="s">
        <v>6</v>
      </c>
      <c r="B28" s="3" t="s">
        <v>7</v>
      </c>
      <c r="C28" s="6" t="s">
        <v>26</v>
      </c>
      <c r="D28" s="2" t="s">
        <v>46</v>
      </c>
      <c r="E28" s="6" t="s">
        <v>28</v>
      </c>
      <c r="F28" s="6" t="s">
        <v>11</v>
      </c>
    </row>
    <row r="29" spans="1:6" ht="45" x14ac:dyDescent="0.25">
      <c r="A29" s="6" t="s">
        <v>6</v>
      </c>
      <c r="B29" s="3" t="s">
        <v>7</v>
      </c>
      <c r="C29" s="6" t="s">
        <v>26</v>
      </c>
      <c r="D29" s="2" t="s">
        <v>47</v>
      </c>
      <c r="E29" s="6" t="s">
        <v>28</v>
      </c>
      <c r="F29" s="6" t="s">
        <v>11</v>
      </c>
    </row>
    <row r="30" spans="1:6" ht="30" x14ac:dyDescent="0.25">
      <c r="A30" s="6" t="s">
        <v>6</v>
      </c>
      <c r="B30" s="3" t="s">
        <v>7</v>
      </c>
      <c r="C30" s="6" t="s">
        <v>26</v>
      </c>
      <c r="D30" s="2" t="s">
        <v>48</v>
      </c>
      <c r="E30" s="6" t="s">
        <v>44</v>
      </c>
      <c r="F30" s="6" t="s">
        <v>11</v>
      </c>
    </row>
    <row r="31" spans="1:6" ht="30" x14ac:dyDescent="0.25">
      <c r="A31" s="6" t="s">
        <v>12</v>
      </c>
      <c r="B31" s="3" t="s">
        <v>7</v>
      </c>
      <c r="C31" s="6" t="s">
        <v>26</v>
      </c>
      <c r="D31" s="2" t="s">
        <v>49</v>
      </c>
      <c r="E31" s="6" t="s">
        <v>28</v>
      </c>
      <c r="F31" s="6" t="s">
        <v>11</v>
      </c>
    </row>
    <row r="32" spans="1:6" ht="45" x14ac:dyDescent="0.25">
      <c r="A32" s="6" t="s">
        <v>12</v>
      </c>
      <c r="B32" s="3" t="s">
        <v>7</v>
      </c>
      <c r="C32" s="6" t="s">
        <v>26</v>
      </c>
      <c r="D32" s="2" t="s">
        <v>50</v>
      </c>
      <c r="E32" s="6" t="s">
        <v>28</v>
      </c>
      <c r="F32" s="6" t="s">
        <v>11</v>
      </c>
    </row>
    <row r="33" spans="1:6" ht="30" x14ac:dyDescent="0.25">
      <c r="A33" s="6" t="s">
        <v>12</v>
      </c>
      <c r="B33" s="3" t="s">
        <v>7</v>
      </c>
      <c r="C33" s="6" t="s">
        <v>26</v>
      </c>
      <c r="D33" s="2" t="s">
        <v>51</v>
      </c>
      <c r="E33" s="6" t="s">
        <v>28</v>
      </c>
      <c r="F33" s="6" t="s">
        <v>11</v>
      </c>
    </row>
    <row r="34" spans="1:6" ht="30" x14ac:dyDescent="0.25">
      <c r="A34" s="6">
        <v>3.4</v>
      </c>
      <c r="B34" s="3" t="s">
        <v>7</v>
      </c>
      <c r="C34" s="6" t="s">
        <v>26</v>
      </c>
      <c r="D34" s="2" t="s">
        <v>52</v>
      </c>
      <c r="E34" s="6" t="s">
        <v>28</v>
      </c>
      <c r="F34" s="6" t="s">
        <v>11</v>
      </c>
    </row>
    <row r="35" spans="1:6" ht="45" x14ac:dyDescent="0.25">
      <c r="A35" s="6">
        <v>3.4</v>
      </c>
      <c r="B35" s="3" t="s">
        <v>7</v>
      </c>
      <c r="C35" s="6" t="s">
        <v>26</v>
      </c>
      <c r="D35" s="2" t="s">
        <v>53</v>
      </c>
      <c r="E35" s="6" t="s">
        <v>28</v>
      </c>
      <c r="F35" s="6" t="s">
        <v>11</v>
      </c>
    </row>
    <row r="36" spans="1:6" ht="30" x14ac:dyDescent="0.25">
      <c r="A36" s="6" t="s">
        <v>40</v>
      </c>
      <c r="B36" s="3" t="s">
        <v>7</v>
      </c>
      <c r="C36" s="6" t="s">
        <v>26</v>
      </c>
      <c r="D36" s="2" t="s">
        <v>54</v>
      </c>
      <c r="E36" s="6" t="s">
        <v>28</v>
      </c>
      <c r="F36" s="6" t="s">
        <v>11</v>
      </c>
    </row>
    <row r="37" spans="1:6" ht="30" x14ac:dyDescent="0.25">
      <c r="A37" s="6">
        <v>4</v>
      </c>
      <c r="B37" s="3" t="s">
        <v>7</v>
      </c>
      <c r="C37" s="6" t="s">
        <v>26</v>
      </c>
      <c r="D37" s="2" t="s">
        <v>55</v>
      </c>
      <c r="E37" s="6" t="s">
        <v>28</v>
      </c>
      <c r="F37" s="6" t="s">
        <v>11</v>
      </c>
    </row>
    <row r="38" spans="1:6" x14ac:dyDescent="0.25">
      <c r="A38" s="6" t="s">
        <v>12</v>
      </c>
      <c r="B38" s="3" t="s">
        <v>7</v>
      </c>
      <c r="C38" s="6" t="s">
        <v>56</v>
      </c>
      <c r="D38" s="3" t="s">
        <v>57</v>
      </c>
      <c r="E38" s="6" t="s">
        <v>17</v>
      </c>
      <c r="F38" s="6" t="s">
        <v>11</v>
      </c>
    </row>
    <row r="39" spans="1:6" x14ac:dyDescent="0.25">
      <c r="A39" s="6" t="s">
        <v>12</v>
      </c>
      <c r="B39" s="3" t="s">
        <v>7</v>
      </c>
      <c r="C39" s="6" t="s">
        <v>56</v>
      </c>
      <c r="D39" s="3" t="s">
        <v>58</v>
      </c>
      <c r="E39" s="6" t="s">
        <v>17</v>
      </c>
      <c r="F39" s="6" t="s">
        <v>11</v>
      </c>
    </row>
    <row r="40" spans="1:6" x14ac:dyDescent="0.25">
      <c r="A40" s="6" t="s">
        <v>12</v>
      </c>
      <c r="B40" s="3" t="s">
        <v>7</v>
      </c>
      <c r="C40" s="6" t="s">
        <v>56</v>
      </c>
      <c r="D40" s="3" t="s">
        <v>59</v>
      </c>
      <c r="E40" s="6" t="s">
        <v>17</v>
      </c>
      <c r="F40" s="6" t="s">
        <v>11</v>
      </c>
    </row>
    <row r="41" spans="1:6" x14ac:dyDescent="0.25">
      <c r="A41" s="6" t="s">
        <v>12</v>
      </c>
      <c r="B41" s="3" t="s">
        <v>7</v>
      </c>
      <c r="C41" s="6" t="s">
        <v>56</v>
      </c>
      <c r="D41" s="3" t="s">
        <v>60</v>
      </c>
      <c r="E41" s="6" t="s">
        <v>17</v>
      </c>
      <c r="F41" s="6" t="s">
        <v>11</v>
      </c>
    </row>
    <row r="42" spans="1:6" x14ac:dyDescent="0.25">
      <c r="A42" s="6" t="s">
        <v>12</v>
      </c>
      <c r="B42" s="3" t="s">
        <v>7</v>
      </c>
      <c r="C42" s="6" t="s">
        <v>56</v>
      </c>
      <c r="D42" s="3" t="s">
        <v>61</v>
      </c>
      <c r="E42" s="6" t="s">
        <v>17</v>
      </c>
      <c r="F42" s="6" t="s">
        <v>11</v>
      </c>
    </row>
    <row r="43" spans="1:6" x14ac:dyDescent="0.25">
      <c r="A43" s="6" t="s">
        <v>12</v>
      </c>
      <c r="B43" s="3" t="s">
        <v>7</v>
      </c>
      <c r="C43" s="6" t="s">
        <v>56</v>
      </c>
      <c r="D43" s="3" t="s">
        <v>62</v>
      </c>
      <c r="E43" s="6" t="s">
        <v>17</v>
      </c>
      <c r="F43" s="6" t="s">
        <v>11</v>
      </c>
    </row>
    <row r="44" spans="1:6" x14ac:dyDescent="0.25">
      <c r="A44" s="6" t="s">
        <v>12</v>
      </c>
      <c r="B44" s="3" t="s">
        <v>7</v>
      </c>
      <c r="C44" s="6" t="s">
        <v>56</v>
      </c>
      <c r="D44" s="3" t="s">
        <v>63</v>
      </c>
      <c r="E44" s="6" t="s">
        <v>17</v>
      </c>
      <c r="F44" s="6" t="s">
        <v>11</v>
      </c>
    </row>
    <row r="45" spans="1:6" x14ac:dyDescent="0.25">
      <c r="A45" s="6" t="s">
        <v>12</v>
      </c>
      <c r="B45" s="3" t="s">
        <v>7</v>
      </c>
      <c r="C45" s="6" t="s">
        <v>56</v>
      </c>
      <c r="D45" s="3" t="s">
        <v>64</v>
      </c>
      <c r="E45" s="6" t="s">
        <v>28</v>
      </c>
      <c r="F45" s="6" t="s">
        <v>11</v>
      </c>
    </row>
    <row r="46" spans="1:6" x14ac:dyDescent="0.25">
      <c r="A46" s="6" t="s">
        <v>12</v>
      </c>
      <c r="B46" s="3" t="s">
        <v>7</v>
      </c>
      <c r="C46" s="6" t="s">
        <v>56</v>
      </c>
      <c r="D46" s="3" t="s">
        <v>65</v>
      </c>
      <c r="E46" s="3" t="s">
        <v>17</v>
      </c>
      <c r="F46" s="6" t="s">
        <v>11</v>
      </c>
    </row>
    <row r="47" spans="1:6" x14ac:dyDescent="0.25">
      <c r="A47" s="6">
        <v>5</v>
      </c>
      <c r="B47" s="3" t="s">
        <v>7</v>
      </c>
      <c r="C47" s="6" t="s">
        <v>56</v>
      </c>
      <c r="D47" s="6" t="s">
        <v>66</v>
      </c>
      <c r="E47" s="3" t="s">
        <v>17</v>
      </c>
      <c r="F47" s="6" t="s">
        <v>11</v>
      </c>
    </row>
    <row r="48" spans="1:6" x14ac:dyDescent="0.25">
      <c r="A48" s="6" t="s">
        <v>12</v>
      </c>
      <c r="B48" s="3" t="s">
        <v>7</v>
      </c>
      <c r="C48" s="6" t="s">
        <v>56</v>
      </c>
      <c r="D48" s="3" t="s">
        <v>67</v>
      </c>
      <c r="E48" s="6" t="s">
        <v>17</v>
      </c>
      <c r="F48" s="6" t="s">
        <v>11</v>
      </c>
    </row>
    <row r="49" spans="1:6" x14ac:dyDescent="0.25">
      <c r="A49" s="6" t="s">
        <v>12</v>
      </c>
      <c r="B49" s="3" t="s">
        <v>7</v>
      </c>
      <c r="C49" s="6" t="s">
        <v>56</v>
      </c>
      <c r="D49" s="3" t="s">
        <v>68</v>
      </c>
      <c r="E49" s="6" t="s">
        <v>28</v>
      </c>
      <c r="F49" s="6" t="s">
        <v>11</v>
      </c>
    </row>
    <row r="50" spans="1:6" x14ac:dyDescent="0.25">
      <c r="A50" s="6" t="s">
        <v>40</v>
      </c>
      <c r="B50" s="3" t="s">
        <v>7</v>
      </c>
      <c r="C50" s="6" t="s">
        <v>56</v>
      </c>
      <c r="D50" s="3" t="s">
        <v>69</v>
      </c>
      <c r="E50" s="6" t="s">
        <v>17</v>
      </c>
      <c r="F50" s="6" t="s">
        <v>11</v>
      </c>
    </row>
    <row r="51" spans="1:6" x14ac:dyDescent="0.25">
      <c r="A51" s="6" t="s">
        <v>12</v>
      </c>
      <c r="B51" s="3" t="s">
        <v>7</v>
      </c>
      <c r="C51" s="6" t="s">
        <v>70</v>
      </c>
      <c r="D51" s="2" t="s">
        <v>71</v>
      </c>
      <c r="E51" s="3" t="s">
        <v>28</v>
      </c>
      <c r="F51" s="3" t="s">
        <v>11</v>
      </c>
    </row>
    <row r="52" spans="1:6" x14ac:dyDescent="0.25">
      <c r="A52" s="6" t="s">
        <v>12</v>
      </c>
      <c r="B52" s="3" t="s">
        <v>7</v>
      </c>
      <c r="C52" s="6" t="s">
        <v>70</v>
      </c>
      <c r="D52" s="2" t="s">
        <v>72</v>
      </c>
      <c r="E52" s="3" t="s">
        <v>28</v>
      </c>
      <c r="F52" s="3" t="s">
        <v>11</v>
      </c>
    </row>
    <row r="53" spans="1:6" x14ac:dyDescent="0.25">
      <c r="A53" s="6" t="s">
        <v>19</v>
      </c>
      <c r="B53" s="3" t="s">
        <v>7</v>
      </c>
      <c r="C53" s="6" t="s">
        <v>70</v>
      </c>
      <c r="D53" s="2" t="s">
        <v>73</v>
      </c>
      <c r="E53" s="3" t="s">
        <v>28</v>
      </c>
      <c r="F53" s="3" t="s">
        <v>11</v>
      </c>
    </row>
    <row r="54" spans="1:6" x14ac:dyDescent="0.25">
      <c r="A54" s="6">
        <v>3.4</v>
      </c>
      <c r="B54" s="3" t="s">
        <v>7</v>
      </c>
      <c r="C54" s="6" t="s">
        <v>70</v>
      </c>
      <c r="D54" s="2" t="s">
        <v>74</v>
      </c>
      <c r="E54" s="3" t="s">
        <v>28</v>
      </c>
      <c r="F54" s="3" t="s">
        <v>11</v>
      </c>
    </row>
    <row r="55" spans="1:6" ht="45" x14ac:dyDescent="0.25">
      <c r="A55" s="6" t="s">
        <v>12</v>
      </c>
      <c r="B55" s="3" t="s">
        <v>7</v>
      </c>
      <c r="C55" s="6" t="s">
        <v>70</v>
      </c>
      <c r="D55" s="2" t="s">
        <v>75</v>
      </c>
      <c r="E55" s="3" t="s">
        <v>28</v>
      </c>
      <c r="F55" s="3" t="s">
        <v>11</v>
      </c>
    </row>
    <row r="56" spans="1:6" ht="30" x14ac:dyDescent="0.25">
      <c r="A56" s="6" t="s">
        <v>12</v>
      </c>
      <c r="B56" s="3" t="s">
        <v>7</v>
      </c>
      <c r="C56" s="6" t="s">
        <v>70</v>
      </c>
      <c r="D56" s="2" t="s">
        <v>76</v>
      </c>
      <c r="E56" s="3" t="s">
        <v>28</v>
      </c>
      <c r="F56" s="3" t="s">
        <v>11</v>
      </c>
    </row>
    <row r="57" spans="1:6" x14ac:dyDescent="0.25">
      <c r="A57" s="6" t="s">
        <v>12</v>
      </c>
      <c r="B57" s="3" t="s">
        <v>7</v>
      </c>
      <c r="C57" s="6" t="s">
        <v>70</v>
      </c>
      <c r="D57" s="2" t="s">
        <v>77</v>
      </c>
      <c r="E57" s="3" t="s">
        <v>28</v>
      </c>
      <c r="F57" s="3" t="s">
        <v>11</v>
      </c>
    </row>
    <row r="58" spans="1:6" x14ac:dyDescent="0.25">
      <c r="A58" s="6" t="s">
        <v>19</v>
      </c>
      <c r="B58" s="3" t="s">
        <v>7</v>
      </c>
      <c r="C58" s="6" t="s">
        <v>70</v>
      </c>
      <c r="D58" s="2" t="s">
        <v>78</v>
      </c>
      <c r="E58" s="3" t="s">
        <v>28</v>
      </c>
      <c r="F58" s="3" t="s">
        <v>11</v>
      </c>
    </row>
    <row r="59" spans="1:6" x14ac:dyDescent="0.25">
      <c r="A59" s="6">
        <v>3.4</v>
      </c>
      <c r="B59" s="3" t="s">
        <v>7</v>
      </c>
      <c r="C59" s="6" t="s">
        <v>70</v>
      </c>
      <c r="D59" s="2" t="s">
        <v>79</v>
      </c>
      <c r="E59" s="3" t="s">
        <v>28</v>
      </c>
      <c r="F59" s="3" t="s">
        <v>11</v>
      </c>
    </row>
    <row r="60" spans="1:6" x14ac:dyDescent="0.25">
      <c r="A60" s="6" t="s">
        <v>12</v>
      </c>
      <c r="B60" s="3" t="s">
        <v>80</v>
      </c>
      <c r="C60" s="6" t="s">
        <v>81</v>
      </c>
      <c r="D60" s="2" t="s">
        <v>82</v>
      </c>
      <c r="E60" s="3" t="s">
        <v>28</v>
      </c>
      <c r="F60" s="3"/>
    </row>
    <row r="61" spans="1:6" ht="30" x14ac:dyDescent="0.25">
      <c r="A61" s="6" t="s">
        <v>12</v>
      </c>
      <c r="B61" s="3" t="s">
        <v>80</v>
      </c>
      <c r="C61" s="6" t="s">
        <v>81</v>
      </c>
      <c r="D61" s="2" t="s">
        <v>83</v>
      </c>
      <c r="E61" s="3" t="s">
        <v>28</v>
      </c>
      <c r="F61" s="3" t="s">
        <v>11</v>
      </c>
    </row>
    <row r="62" spans="1:6" ht="30" x14ac:dyDescent="0.25">
      <c r="A62" s="6" t="s">
        <v>12</v>
      </c>
      <c r="B62" s="3" t="s">
        <v>80</v>
      </c>
      <c r="C62" s="6" t="s">
        <v>81</v>
      </c>
      <c r="D62" s="2" t="s">
        <v>84</v>
      </c>
      <c r="E62" s="3" t="s">
        <v>28</v>
      </c>
      <c r="F62" s="3" t="s">
        <v>11</v>
      </c>
    </row>
    <row r="63" spans="1:6" ht="30" x14ac:dyDescent="0.25">
      <c r="A63" s="6" t="s">
        <v>12</v>
      </c>
      <c r="B63" s="3" t="s">
        <v>80</v>
      </c>
      <c r="C63" s="6" t="s">
        <v>81</v>
      </c>
      <c r="D63" s="2" t="s">
        <v>85</v>
      </c>
      <c r="E63" s="3" t="s">
        <v>28</v>
      </c>
      <c r="F63" s="3" t="s">
        <v>11</v>
      </c>
    </row>
    <row r="64" spans="1:6" ht="30" x14ac:dyDescent="0.25">
      <c r="A64" s="6" t="s">
        <v>12</v>
      </c>
      <c r="B64" s="3" t="s">
        <v>80</v>
      </c>
      <c r="C64" s="6" t="s">
        <v>81</v>
      </c>
      <c r="D64" s="2" t="s">
        <v>86</v>
      </c>
      <c r="E64" s="3" t="s">
        <v>28</v>
      </c>
      <c r="F64" s="3" t="s">
        <v>11</v>
      </c>
    </row>
    <row r="65" spans="1:6" ht="45" x14ac:dyDescent="0.25">
      <c r="A65" s="6">
        <v>4</v>
      </c>
      <c r="B65" s="3" t="s">
        <v>80</v>
      </c>
      <c r="C65" s="6" t="s">
        <v>81</v>
      </c>
      <c r="D65" s="2" t="s">
        <v>87</v>
      </c>
      <c r="E65" s="3" t="s">
        <v>28</v>
      </c>
      <c r="F65" s="3"/>
    </row>
    <row r="66" spans="1:6" ht="45" x14ac:dyDescent="0.25">
      <c r="A66" s="6">
        <v>1.2</v>
      </c>
      <c r="B66" s="3" t="s">
        <v>80</v>
      </c>
      <c r="C66" s="6" t="s">
        <v>88</v>
      </c>
      <c r="D66" s="2" t="s">
        <v>89</v>
      </c>
      <c r="E66" s="3" t="s">
        <v>28</v>
      </c>
      <c r="F66" s="3"/>
    </row>
    <row r="67" spans="1:6" ht="45" x14ac:dyDescent="0.25">
      <c r="A67" s="6">
        <v>3.4</v>
      </c>
      <c r="B67" s="3" t="s">
        <v>80</v>
      </c>
      <c r="C67" s="6" t="s">
        <v>88</v>
      </c>
      <c r="D67" s="2" t="s">
        <v>90</v>
      </c>
      <c r="E67" s="3" t="s">
        <v>28</v>
      </c>
      <c r="F67" s="3"/>
    </row>
    <row r="68" spans="1:6" x14ac:dyDescent="0.25">
      <c r="A68" s="6">
        <v>1.2</v>
      </c>
      <c r="B68" s="3" t="s">
        <v>80</v>
      </c>
      <c r="C68" s="6" t="s">
        <v>88</v>
      </c>
      <c r="D68" s="2" t="s">
        <v>91</v>
      </c>
      <c r="E68" s="3" t="s">
        <v>28</v>
      </c>
      <c r="F68" s="3"/>
    </row>
    <row r="69" spans="1:6" ht="30" x14ac:dyDescent="0.25">
      <c r="A69" s="6">
        <v>3.4</v>
      </c>
      <c r="B69" s="3" t="s">
        <v>80</v>
      </c>
      <c r="C69" s="6" t="s">
        <v>88</v>
      </c>
      <c r="D69" s="2" t="s">
        <v>92</v>
      </c>
      <c r="E69" s="3" t="s">
        <v>28</v>
      </c>
      <c r="F69" s="3"/>
    </row>
    <row r="70" spans="1:6" ht="60" x14ac:dyDescent="0.25">
      <c r="A70" s="6" t="s">
        <v>12</v>
      </c>
      <c r="B70" s="3" t="s">
        <v>80</v>
      </c>
      <c r="C70" s="6" t="s">
        <v>88</v>
      </c>
      <c r="D70" s="2" t="s">
        <v>93</v>
      </c>
      <c r="E70" s="3" t="s">
        <v>28</v>
      </c>
      <c r="F70" s="3" t="s">
        <v>11</v>
      </c>
    </row>
    <row r="71" spans="1:6" x14ac:dyDescent="0.25">
      <c r="A71" s="6" t="s">
        <v>19</v>
      </c>
      <c r="B71" s="3" t="s">
        <v>80</v>
      </c>
      <c r="C71" s="6" t="s">
        <v>88</v>
      </c>
      <c r="D71" s="2" t="s">
        <v>94</v>
      </c>
      <c r="E71" s="3" t="s">
        <v>28</v>
      </c>
      <c r="F71" s="3"/>
    </row>
    <row r="72" spans="1:6" ht="30" x14ac:dyDescent="0.25">
      <c r="A72" s="6" t="s">
        <v>19</v>
      </c>
      <c r="B72" s="3" t="s">
        <v>80</v>
      </c>
      <c r="C72" s="6" t="s">
        <v>88</v>
      </c>
      <c r="D72" s="2" t="s">
        <v>95</v>
      </c>
      <c r="E72" s="3" t="s">
        <v>28</v>
      </c>
      <c r="F72" s="3"/>
    </row>
    <row r="73" spans="1:6" x14ac:dyDescent="0.25">
      <c r="A73" s="6">
        <v>3.4</v>
      </c>
      <c r="B73" s="3" t="s">
        <v>80</v>
      </c>
      <c r="C73" s="6" t="s">
        <v>88</v>
      </c>
      <c r="D73" s="2" t="s">
        <v>96</v>
      </c>
      <c r="E73" s="3" t="s">
        <v>28</v>
      </c>
      <c r="F73" s="3"/>
    </row>
    <row r="74" spans="1:6" ht="30" x14ac:dyDescent="0.25">
      <c r="A74" s="6">
        <v>3.4</v>
      </c>
      <c r="B74" s="3" t="s">
        <v>80</v>
      </c>
      <c r="C74" s="6" t="s">
        <v>88</v>
      </c>
      <c r="D74" s="2" t="s">
        <v>97</v>
      </c>
      <c r="E74" s="3" t="s">
        <v>17</v>
      </c>
      <c r="F74" s="3"/>
    </row>
    <row r="75" spans="1:6" x14ac:dyDescent="0.25">
      <c r="A75" s="6">
        <v>4</v>
      </c>
      <c r="B75" s="3" t="s">
        <v>80</v>
      </c>
      <c r="C75" s="6" t="s">
        <v>88</v>
      </c>
      <c r="D75" s="2" t="s">
        <v>98</v>
      </c>
      <c r="E75" s="3" t="s">
        <v>28</v>
      </c>
      <c r="F75" s="3"/>
    </row>
    <row r="76" spans="1:6" x14ac:dyDescent="0.25">
      <c r="A76" s="6">
        <v>5</v>
      </c>
      <c r="B76" s="3" t="s">
        <v>80</v>
      </c>
      <c r="C76" s="6" t="s">
        <v>88</v>
      </c>
      <c r="D76" s="2" t="s">
        <v>99</v>
      </c>
      <c r="E76" s="3" t="s">
        <v>28</v>
      </c>
      <c r="F76" s="3"/>
    </row>
    <row r="77" spans="1:6" ht="30" x14ac:dyDescent="0.25">
      <c r="A77" s="6">
        <v>5</v>
      </c>
      <c r="B77" s="3" t="s">
        <v>80</v>
      </c>
      <c r="C77" s="6" t="s">
        <v>88</v>
      </c>
      <c r="D77" s="2" t="s">
        <v>100</v>
      </c>
      <c r="E77" s="3" t="s">
        <v>28</v>
      </c>
      <c r="F77" s="3"/>
    </row>
    <row r="78" spans="1:6" ht="30" x14ac:dyDescent="0.25">
      <c r="A78" s="6" t="s">
        <v>12</v>
      </c>
      <c r="B78" s="3" t="s">
        <v>80</v>
      </c>
      <c r="C78" s="6" t="s">
        <v>101</v>
      </c>
      <c r="D78" s="2" t="s">
        <v>102</v>
      </c>
      <c r="E78" s="3" t="s">
        <v>28</v>
      </c>
      <c r="F78" s="3"/>
    </row>
    <row r="79" spans="1:6" ht="30" x14ac:dyDescent="0.25">
      <c r="A79" s="6" t="s">
        <v>12</v>
      </c>
      <c r="B79" s="3" t="s">
        <v>80</v>
      </c>
      <c r="C79" s="6" t="s">
        <v>101</v>
      </c>
      <c r="D79" s="2" t="s">
        <v>103</v>
      </c>
      <c r="E79" s="3" t="s">
        <v>28</v>
      </c>
      <c r="F79" s="3" t="s">
        <v>11</v>
      </c>
    </row>
    <row r="80" spans="1:6" ht="30" x14ac:dyDescent="0.25">
      <c r="A80" s="6" t="s">
        <v>12</v>
      </c>
      <c r="B80" s="3" t="s">
        <v>80</v>
      </c>
      <c r="C80" s="6" t="s">
        <v>101</v>
      </c>
      <c r="D80" s="2" t="s">
        <v>104</v>
      </c>
      <c r="E80" s="3" t="s">
        <v>28</v>
      </c>
      <c r="F80" s="3" t="s">
        <v>11</v>
      </c>
    </row>
    <row r="81" spans="1:6" ht="30" x14ac:dyDescent="0.25">
      <c r="A81" s="6" t="s">
        <v>12</v>
      </c>
      <c r="B81" s="3" t="s">
        <v>80</v>
      </c>
      <c r="C81" s="6" t="s">
        <v>101</v>
      </c>
      <c r="D81" s="2" t="s">
        <v>105</v>
      </c>
      <c r="E81" s="3" t="s">
        <v>28</v>
      </c>
      <c r="F81" s="3"/>
    </row>
    <row r="82" spans="1:6" ht="30" x14ac:dyDescent="0.25">
      <c r="A82" s="6" t="s">
        <v>12</v>
      </c>
      <c r="B82" s="3" t="s">
        <v>80</v>
      </c>
      <c r="C82" s="6" t="s">
        <v>101</v>
      </c>
      <c r="D82" s="2" t="s">
        <v>106</v>
      </c>
      <c r="E82" s="3" t="s">
        <v>28</v>
      </c>
      <c r="F82" s="3" t="s">
        <v>11</v>
      </c>
    </row>
    <row r="83" spans="1:6" ht="30" x14ac:dyDescent="0.25">
      <c r="A83" s="6">
        <v>1</v>
      </c>
      <c r="B83" s="3" t="s">
        <v>80</v>
      </c>
      <c r="C83" s="6" t="s">
        <v>101</v>
      </c>
      <c r="D83" s="2" t="s">
        <v>107</v>
      </c>
      <c r="E83" s="3" t="s">
        <v>28</v>
      </c>
      <c r="F83" s="3"/>
    </row>
    <row r="84" spans="1:6" ht="30" x14ac:dyDescent="0.25">
      <c r="A84" s="6" t="s">
        <v>19</v>
      </c>
      <c r="B84" s="3" t="s">
        <v>80</v>
      </c>
      <c r="C84" s="6" t="s">
        <v>101</v>
      </c>
      <c r="D84" s="2" t="s">
        <v>108</v>
      </c>
      <c r="E84" s="3" t="s">
        <v>28</v>
      </c>
      <c r="F84" s="3"/>
    </row>
    <row r="85" spans="1:6" ht="30" x14ac:dyDescent="0.25">
      <c r="A85" s="6">
        <v>3.4</v>
      </c>
      <c r="B85" s="3" t="s">
        <v>80</v>
      </c>
      <c r="C85" s="6" t="s">
        <v>101</v>
      </c>
      <c r="D85" s="2" t="s">
        <v>109</v>
      </c>
      <c r="E85" s="3" t="s">
        <v>28</v>
      </c>
      <c r="F85" s="3"/>
    </row>
    <row r="86" spans="1:6" ht="30" x14ac:dyDescent="0.25">
      <c r="A86" s="6">
        <v>3.4</v>
      </c>
      <c r="B86" s="3" t="s">
        <v>80</v>
      </c>
      <c r="C86" s="6" t="s">
        <v>101</v>
      </c>
      <c r="D86" s="2" t="s">
        <v>110</v>
      </c>
      <c r="E86" s="3" t="s">
        <v>44</v>
      </c>
      <c r="F86" s="3"/>
    </row>
    <row r="87" spans="1:6" ht="30" x14ac:dyDescent="0.25">
      <c r="A87" s="6">
        <v>4</v>
      </c>
      <c r="B87" s="3" t="s">
        <v>80</v>
      </c>
      <c r="C87" s="6" t="s">
        <v>101</v>
      </c>
      <c r="D87" s="2" t="s">
        <v>111</v>
      </c>
      <c r="E87" s="3" t="s">
        <v>28</v>
      </c>
      <c r="F87" s="3"/>
    </row>
    <row r="88" spans="1:6" ht="30" x14ac:dyDescent="0.25">
      <c r="A88" s="6">
        <v>5</v>
      </c>
      <c r="B88" s="3" t="s">
        <v>80</v>
      </c>
      <c r="C88" s="6" t="s">
        <v>101</v>
      </c>
      <c r="D88" s="2" t="s">
        <v>112</v>
      </c>
      <c r="E88" s="3" t="s">
        <v>28</v>
      </c>
      <c r="F88" s="3"/>
    </row>
    <row r="89" spans="1:6" x14ac:dyDescent="0.25">
      <c r="A89" s="6">
        <v>5</v>
      </c>
      <c r="B89" s="3" t="s">
        <v>80</v>
      </c>
      <c r="C89" s="6" t="s">
        <v>101</v>
      </c>
      <c r="D89" s="2" t="s">
        <v>113</v>
      </c>
      <c r="E89" s="3" t="s">
        <v>28</v>
      </c>
      <c r="F89" s="3"/>
    </row>
    <row r="90" spans="1:6" ht="30" x14ac:dyDescent="0.25">
      <c r="A90" s="6" t="s">
        <v>12</v>
      </c>
      <c r="B90" s="3" t="s">
        <v>80</v>
      </c>
      <c r="C90" s="6" t="s">
        <v>114</v>
      </c>
      <c r="D90" s="2" t="s">
        <v>115</v>
      </c>
      <c r="E90" s="3" t="s">
        <v>28</v>
      </c>
      <c r="F90" s="3"/>
    </row>
    <row r="91" spans="1:6" x14ac:dyDescent="0.25">
      <c r="A91" s="6" t="s">
        <v>12</v>
      </c>
      <c r="B91" s="3" t="s">
        <v>80</v>
      </c>
      <c r="C91" s="6" t="s">
        <v>114</v>
      </c>
      <c r="D91" s="2" t="s">
        <v>116</v>
      </c>
      <c r="E91" s="3" t="s">
        <v>28</v>
      </c>
      <c r="F91" s="3"/>
    </row>
    <row r="92" spans="1:6" ht="30" x14ac:dyDescent="0.25">
      <c r="A92" s="6" t="s">
        <v>12</v>
      </c>
      <c r="B92" s="3" t="s">
        <v>80</v>
      </c>
      <c r="C92" s="6" t="s">
        <v>114</v>
      </c>
      <c r="D92" s="2" t="s">
        <v>117</v>
      </c>
      <c r="E92" s="3" t="s">
        <v>28</v>
      </c>
      <c r="F92" s="3"/>
    </row>
    <row r="93" spans="1:6" ht="30" x14ac:dyDescent="0.25">
      <c r="A93" s="6" t="s">
        <v>19</v>
      </c>
      <c r="B93" s="3" t="s">
        <v>80</v>
      </c>
      <c r="C93" s="6" t="s">
        <v>114</v>
      </c>
      <c r="D93" s="2" t="s">
        <v>118</v>
      </c>
      <c r="E93" s="3" t="s">
        <v>28</v>
      </c>
      <c r="F93" s="3"/>
    </row>
    <row r="94" spans="1:6" x14ac:dyDescent="0.25">
      <c r="A94" s="6" t="s">
        <v>19</v>
      </c>
      <c r="B94" s="3" t="s">
        <v>80</v>
      </c>
      <c r="C94" s="6" t="s">
        <v>114</v>
      </c>
      <c r="D94" s="2" t="s">
        <v>119</v>
      </c>
      <c r="E94" s="3" t="s">
        <v>28</v>
      </c>
      <c r="F94" s="3"/>
    </row>
    <row r="95" spans="1:6" ht="30" x14ac:dyDescent="0.25">
      <c r="A95" s="6" t="s">
        <v>19</v>
      </c>
      <c r="B95" s="3" t="s">
        <v>80</v>
      </c>
      <c r="C95" s="6" t="s">
        <v>114</v>
      </c>
      <c r="D95" s="2" t="s">
        <v>120</v>
      </c>
      <c r="E95" s="3" t="s">
        <v>28</v>
      </c>
      <c r="F95" s="3"/>
    </row>
    <row r="96" spans="1:6" ht="45" x14ac:dyDescent="0.25">
      <c r="A96" s="6">
        <v>3.4</v>
      </c>
      <c r="B96" s="3" t="s">
        <v>80</v>
      </c>
      <c r="C96" s="6" t="s">
        <v>114</v>
      </c>
      <c r="D96" s="2" t="s">
        <v>121</v>
      </c>
      <c r="E96" s="3" t="s">
        <v>28</v>
      </c>
      <c r="F96" s="3"/>
    </row>
    <row r="97" spans="1:6" x14ac:dyDescent="0.25">
      <c r="A97" s="6">
        <v>5</v>
      </c>
      <c r="B97" s="3" t="s">
        <v>80</v>
      </c>
      <c r="C97" s="6" t="s">
        <v>114</v>
      </c>
      <c r="D97" s="2" t="s">
        <v>122</v>
      </c>
      <c r="E97" s="3" t="s">
        <v>28</v>
      </c>
      <c r="F97" s="3"/>
    </row>
    <row r="98" spans="1:6" x14ac:dyDescent="0.25">
      <c r="A98" s="6" t="s">
        <v>12</v>
      </c>
      <c r="B98" s="6" t="s">
        <v>123</v>
      </c>
      <c r="C98" s="6" t="s">
        <v>124</v>
      </c>
      <c r="D98" s="2" t="s">
        <v>125</v>
      </c>
      <c r="E98" s="3" t="s">
        <v>126</v>
      </c>
      <c r="F98" s="3" t="s">
        <v>11</v>
      </c>
    </row>
    <row r="99" spans="1:6" x14ac:dyDescent="0.25">
      <c r="A99" s="6" t="s">
        <v>12</v>
      </c>
      <c r="B99" s="6" t="s">
        <v>123</v>
      </c>
      <c r="C99" s="6" t="s">
        <v>124</v>
      </c>
      <c r="D99" s="2" t="s">
        <v>127</v>
      </c>
      <c r="E99" s="3" t="s">
        <v>126</v>
      </c>
      <c r="F99" s="3" t="s">
        <v>11</v>
      </c>
    </row>
    <row r="100" spans="1:6" x14ac:dyDescent="0.25">
      <c r="A100" s="6" t="s">
        <v>12</v>
      </c>
      <c r="B100" s="6" t="s">
        <v>123</v>
      </c>
      <c r="C100" s="6" t="s">
        <v>124</v>
      </c>
      <c r="D100" s="2" t="s">
        <v>128</v>
      </c>
      <c r="E100" s="3" t="s">
        <v>129</v>
      </c>
      <c r="F100" s="3" t="s">
        <v>11</v>
      </c>
    </row>
    <row r="101" spans="1:6" ht="45" x14ac:dyDescent="0.25">
      <c r="A101" s="6" t="s">
        <v>12</v>
      </c>
      <c r="B101" s="6" t="s">
        <v>123</v>
      </c>
      <c r="C101" s="6" t="s">
        <v>124</v>
      </c>
      <c r="D101" s="2" t="s">
        <v>130</v>
      </c>
      <c r="E101" s="3" t="s">
        <v>126</v>
      </c>
      <c r="F101" s="3"/>
    </row>
    <row r="102" spans="1:6" x14ac:dyDescent="0.25">
      <c r="A102" s="6" t="s">
        <v>19</v>
      </c>
      <c r="B102" s="6" t="s">
        <v>123</v>
      </c>
      <c r="C102" s="6" t="s">
        <v>124</v>
      </c>
      <c r="D102" s="2" t="s">
        <v>131</v>
      </c>
      <c r="E102" s="3" t="s">
        <v>126</v>
      </c>
      <c r="F102" s="3" t="s">
        <v>11</v>
      </c>
    </row>
    <row r="103" spans="1:6" ht="30" x14ac:dyDescent="0.25">
      <c r="A103" s="6">
        <v>3.4</v>
      </c>
      <c r="B103" s="6" t="s">
        <v>123</v>
      </c>
      <c r="C103" s="6" t="s">
        <v>124</v>
      </c>
      <c r="D103" s="2" t="s">
        <v>132</v>
      </c>
      <c r="E103" s="3" t="s">
        <v>126</v>
      </c>
      <c r="F103" s="3"/>
    </row>
    <row r="104" spans="1:6" ht="30" x14ac:dyDescent="0.25">
      <c r="A104" s="6">
        <v>3.4</v>
      </c>
      <c r="B104" s="6" t="s">
        <v>123</v>
      </c>
      <c r="C104" s="6" t="s">
        <v>124</v>
      </c>
      <c r="D104" s="2" t="s">
        <v>133</v>
      </c>
      <c r="E104" s="3" t="s">
        <v>126</v>
      </c>
      <c r="F104" s="3"/>
    </row>
    <row r="105" spans="1:6" ht="30" x14ac:dyDescent="0.25">
      <c r="A105" s="6">
        <v>3.4</v>
      </c>
      <c r="B105" s="6" t="s">
        <v>123</v>
      </c>
      <c r="C105" s="6" t="s">
        <v>124</v>
      </c>
      <c r="D105" s="2" t="s">
        <v>134</v>
      </c>
      <c r="E105" s="3" t="s">
        <v>129</v>
      </c>
      <c r="F105" s="3"/>
    </row>
    <row r="106" spans="1:6" x14ac:dyDescent="0.25">
      <c r="A106" s="6">
        <v>1</v>
      </c>
      <c r="B106" s="6" t="s">
        <v>123</v>
      </c>
      <c r="C106" s="6" t="s">
        <v>135</v>
      </c>
      <c r="D106" s="2" t="s">
        <v>136</v>
      </c>
      <c r="E106" s="3" t="s">
        <v>28</v>
      </c>
      <c r="F106" s="3"/>
    </row>
    <row r="107" spans="1:6" ht="30" x14ac:dyDescent="0.25">
      <c r="A107" s="6" t="s">
        <v>19</v>
      </c>
      <c r="B107" s="6" t="s">
        <v>123</v>
      </c>
      <c r="C107" s="6" t="s">
        <v>135</v>
      </c>
      <c r="D107" s="2" t="s">
        <v>137</v>
      </c>
      <c r="E107" s="3" t="s">
        <v>28</v>
      </c>
      <c r="F107" s="3"/>
    </row>
    <row r="108" spans="1:6" ht="30" x14ac:dyDescent="0.25">
      <c r="A108" s="6" t="s">
        <v>12</v>
      </c>
      <c r="B108" s="6" t="s">
        <v>123</v>
      </c>
      <c r="C108" s="6" t="s">
        <v>135</v>
      </c>
      <c r="D108" s="2" t="s">
        <v>138</v>
      </c>
      <c r="E108" s="3" t="s">
        <v>28</v>
      </c>
      <c r="F108" s="3"/>
    </row>
    <row r="109" spans="1:6" ht="30" x14ac:dyDescent="0.25">
      <c r="A109" s="6" t="s">
        <v>19</v>
      </c>
      <c r="B109" s="6" t="s">
        <v>123</v>
      </c>
      <c r="C109" s="6" t="s">
        <v>135</v>
      </c>
      <c r="D109" s="2" t="s">
        <v>139</v>
      </c>
      <c r="E109" s="3" t="s">
        <v>126</v>
      </c>
      <c r="F109" s="3"/>
    </row>
    <row r="110" spans="1:6" ht="30" x14ac:dyDescent="0.25">
      <c r="A110" s="6" t="s">
        <v>19</v>
      </c>
      <c r="B110" s="6" t="s">
        <v>123</v>
      </c>
      <c r="C110" s="6" t="s">
        <v>135</v>
      </c>
      <c r="D110" s="2" t="s">
        <v>140</v>
      </c>
      <c r="E110" s="3" t="s">
        <v>126</v>
      </c>
      <c r="F110" s="3"/>
    </row>
    <row r="111" spans="1:6" x14ac:dyDescent="0.25">
      <c r="A111" s="6">
        <v>3.4</v>
      </c>
      <c r="B111" s="6" t="s">
        <v>123</v>
      </c>
      <c r="C111" s="6" t="s">
        <v>135</v>
      </c>
      <c r="D111" s="2" t="s">
        <v>141</v>
      </c>
      <c r="E111" s="3" t="s">
        <v>28</v>
      </c>
      <c r="F111" s="3"/>
    </row>
    <row r="112" spans="1:6" x14ac:dyDescent="0.25">
      <c r="A112" s="6">
        <v>3.4</v>
      </c>
      <c r="B112" s="6" t="s">
        <v>123</v>
      </c>
      <c r="C112" s="6" t="s">
        <v>135</v>
      </c>
      <c r="D112" s="2" t="s">
        <v>142</v>
      </c>
      <c r="E112" s="3" t="s">
        <v>28</v>
      </c>
      <c r="F112" s="3"/>
    </row>
    <row r="113" spans="1:6" ht="30" x14ac:dyDescent="0.25">
      <c r="A113" s="6">
        <v>3.4</v>
      </c>
      <c r="B113" s="6" t="s">
        <v>123</v>
      </c>
      <c r="C113" s="6" t="s">
        <v>135</v>
      </c>
      <c r="D113" s="2" t="s">
        <v>143</v>
      </c>
      <c r="E113" s="3" t="s">
        <v>28</v>
      </c>
      <c r="F113" s="3"/>
    </row>
    <row r="114" spans="1:6" x14ac:dyDescent="0.25">
      <c r="A114" s="6">
        <v>4</v>
      </c>
      <c r="B114" s="6" t="s">
        <v>123</v>
      </c>
      <c r="C114" s="6" t="s">
        <v>135</v>
      </c>
      <c r="D114" s="2" t="s">
        <v>144</v>
      </c>
      <c r="E114" s="3" t="s">
        <v>129</v>
      </c>
      <c r="F114" s="3"/>
    </row>
    <row r="115" spans="1:6" x14ac:dyDescent="0.25">
      <c r="A115" s="6">
        <v>5</v>
      </c>
      <c r="B115" s="6" t="s">
        <v>123</v>
      </c>
      <c r="C115" s="6" t="s">
        <v>135</v>
      </c>
      <c r="D115" s="2" t="s">
        <v>145</v>
      </c>
      <c r="E115" s="3" t="s">
        <v>28</v>
      </c>
      <c r="F115" s="3"/>
    </row>
    <row r="116" spans="1:6" x14ac:dyDescent="0.25">
      <c r="A116" s="6">
        <v>5</v>
      </c>
      <c r="B116" s="6" t="s">
        <v>123</v>
      </c>
      <c r="C116" s="6" t="s">
        <v>135</v>
      </c>
      <c r="D116" s="2" t="s">
        <v>146</v>
      </c>
      <c r="E116" s="3" t="s">
        <v>28</v>
      </c>
      <c r="F116" s="3"/>
    </row>
    <row r="117" spans="1:6" x14ac:dyDescent="0.25">
      <c r="A117" s="6">
        <v>5</v>
      </c>
      <c r="B117" s="6" t="s">
        <v>123</v>
      </c>
      <c r="C117" s="6" t="s">
        <v>135</v>
      </c>
      <c r="D117" s="2" t="s">
        <v>147</v>
      </c>
      <c r="E117" s="3" t="s">
        <v>28</v>
      </c>
      <c r="F117" s="3"/>
    </row>
    <row r="118" spans="1:6" x14ac:dyDescent="0.25">
      <c r="A118" s="6" t="s">
        <v>12</v>
      </c>
      <c r="B118" s="6" t="s">
        <v>123</v>
      </c>
      <c r="C118" s="6" t="s">
        <v>148</v>
      </c>
      <c r="D118" s="2" t="s">
        <v>149</v>
      </c>
      <c r="E118" s="3" t="s">
        <v>44</v>
      </c>
      <c r="F118" s="3"/>
    </row>
    <row r="119" spans="1:6" x14ac:dyDescent="0.25">
      <c r="A119" s="6" t="s">
        <v>12</v>
      </c>
      <c r="B119" s="6" t="s">
        <v>123</v>
      </c>
      <c r="C119" s="6" t="s">
        <v>148</v>
      </c>
      <c r="D119" s="2" t="s">
        <v>150</v>
      </c>
      <c r="E119" s="3" t="s">
        <v>28</v>
      </c>
      <c r="F119" s="3"/>
    </row>
    <row r="120" spans="1:6" x14ac:dyDescent="0.25">
      <c r="A120" s="6" t="s">
        <v>12</v>
      </c>
      <c r="B120" s="6" t="s">
        <v>123</v>
      </c>
      <c r="C120" s="6" t="s">
        <v>148</v>
      </c>
      <c r="D120" s="2" t="s">
        <v>151</v>
      </c>
      <c r="E120" s="3" t="s">
        <v>44</v>
      </c>
      <c r="F120" s="3"/>
    </row>
    <row r="121" spans="1:6" x14ac:dyDescent="0.25">
      <c r="A121" s="6" t="s">
        <v>19</v>
      </c>
      <c r="B121" s="6" t="s">
        <v>123</v>
      </c>
      <c r="C121" s="6" t="s">
        <v>148</v>
      </c>
      <c r="D121" s="2" t="s">
        <v>152</v>
      </c>
      <c r="E121" s="3" t="s">
        <v>44</v>
      </c>
      <c r="F121" s="3"/>
    </row>
    <row r="122" spans="1:6" ht="45" x14ac:dyDescent="0.25">
      <c r="A122" s="6" t="s">
        <v>19</v>
      </c>
      <c r="B122" s="6" t="s">
        <v>123</v>
      </c>
      <c r="C122" s="6" t="s">
        <v>148</v>
      </c>
      <c r="D122" s="2" t="s">
        <v>153</v>
      </c>
      <c r="E122" s="3" t="s">
        <v>44</v>
      </c>
      <c r="F122" s="3"/>
    </row>
    <row r="123" spans="1:6" x14ac:dyDescent="0.25">
      <c r="A123" s="6">
        <v>2</v>
      </c>
      <c r="B123" s="6" t="s">
        <v>123</v>
      </c>
      <c r="C123" s="6" t="s">
        <v>148</v>
      </c>
      <c r="D123" s="2" t="s">
        <v>154</v>
      </c>
      <c r="E123" s="3" t="s">
        <v>44</v>
      </c>
      <c r="F123" s="3"/>
    </row>
    <row r="124" spans="1:6" x14ac:dyDescent="0.25">
      <c r="A124" s="6">
        <v>3</v>
      </c>
      <c r="B124" s="6" t="s">
        <v>123</v>
      </c>
      <c r="C124" s="6" t="s">
        <v>148</v>
      </c>
      <c r="D124" s="2" t="s">
        <v>155</v>
      </c>
      <c r="E124" s="3" t="s">
        <v>44</v>
      </c>
      <c r="F124" s="3"/>
    </row>
    <row r="125" spans="1:6" x14ac:dyDescent="0.25">
      <c r="A125" s="6">
        <v>4</v>
      </c>
      <c r="B125" s="6" t="s">
        <v>123</v>
      </c>
      <c r="C125" s="6" t="s">
        <v>148</v>
      </c>
      <c r="D125" s="2" t="s">
        <v>156</v>
      </c>
      <c r="E125" s="3" t="s">
        <v>44</v>
      </c>
      <c r="F125" s="3"/>
    </row>
    <row r="126" spans="1:6" x14ac:dyDescent="0.25">
      <c r="A126" s="6">
        <v>3.4</v>
      </c>
      <c r="B126" s="6" t="s">
        <v>123</v>
      </c>
      <c r="C126" s="6" t="s">
        <v>148</v>
      </c>
      <c r="D126" s="2" t="s">
        <v>157</v>
      </c>
      <c r="E126" s="3" t="s">
        <v>44</v>
      </c>
      <c r="F126" s="3"/>
    </row>
    <row r="127" spans="1:6" x14ac:dyDescent="0.25">
      <c r="A127" s="6">
        <v>3.4</v>
      </c>
      <c r="B127" s="6" t="s">
        <v>123</v>
      </c>
      <c r="C127" s="6" t="s">
        <v>148</v>
      </c>
      <c r="D127" s="2" t="s">
        <v>158</v>
      </c>
      <c r="E127" s="3" t="s">
        <v>44</v>
      </c>
      <c r="F127" s="3"/>
    </row>
    <row r="128" spans="1:6" ht="30" x14ac:dyDescent="0.25">
      <c r="A128" s="6">
        <v>4</v>
      </c>
      <c r="B128" s="6" t="s">
        <v>123</v>
      </c>
      <c r="C128" s="6" t="s">
        <v>148</v>
      </c>
      <c r="D128" s="2" t="s">
        <v>159</v>
      </c>
      <c r="E128" s="3" t="s">
        <v>44</v>
      </c>
      <c r="F128" s="3"/>
    </row>
    <row r="129" spans="1:6" x14ac:dyDescent="0.25">
      <c r="A129" s="6">
        <v>4</v>
      </c>
      <c r="B129" s="6" t="s">
        <v>123</v>
      </c>
      <c r="C129" s="6" t="s">
        <v>148</v>
      </c>
      <c r="D129" s="2" t="s">
        <v>160</v>
      </c>
      <c r="E129" s="3" t="s">
        <v>44</v>
      </c>
      <c r="F129" s="3"/>
    </row>
    <row r="130" spans="1:6" ht="30" x14ac:dyDescent="0.25">
      <c r="A130" s="6">
        <v>4</v>
      </c>
      <c r="B130" s="6" t="s">
        <v>123</v>
      </c>
      <c r="C130" s="6" t="s">
        <v>148</v>
      </c>
      <c r="D130" s="2" t="s">
        <v>161</v>
      </c>
      <c r="E130" s="3" t="s">
        <v>44</v>
      </c>
      <c r="F130" s="3"/>
    </row>
    <row r="131" spans="1:6" x14ac:dyDescent="0.25">
      <c r="A131" s="6">
        <v>4</v>
      </c>
      <c r="B131" s="6" t="s">
        <v>123</v>
      </c>
      <c r="C131" s="6" t="s">
        <v>148</v>
      </c>
      <c r="D131" s="2" t="s">
        <v>162</v>
      </c>
      <c r="E131" s="3" t="s">
        <v>44</v>
      </c>
      <c r="F131" s="3"/>
    </row>
    <row r="132" spans="1:6" x14ac:dyDescent="0.25">
      <c r="A132" s="6">
        <v>5</v>
      </c>
      <c r="B132" s="6" t="s">
        <v>123</v>
      </c>
      <c r="C132" s="6" t="s">
        <v>148</v>
      </c>
      <c r="D132" s="2" t="s">
        <v>163</v>
      </c>
      <c r="E132" s="3" t="s">
        <v>44</v>
      </c>
      <c r="F132" s="3"/>
    </row>
    <row r="133" spans="1:6" ht="30" x14ac:dyDescent="0.25">
      <c r="A133" s="6">
        <v>5</v>
      </c>
      <c r="B133" s="6" t="s">
        <v>123</v>
      </c>
      <c r="C133" s="6" t="s">
        <v>148</v>
      </c>
      <c r="D133" s="2" t="s">
        <v>164</v>
      </c>
      <c r="E133" s="3" t="s">
        <v>44</v>
      </c>
      <c r="F133" s="3"/>
    </row>
  </sheetData>
  <pageMargins left="0.7" right="0.7" top="0.75" bottom="0.75" header="0.3" footer="0.3"/>
  <pageSetup paperSize="9"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2DA4-0E58-4934-AFA6-56C51C74A68B}">
  <sheetPr>
    <tabColor rgb="FFBB90FF"/>
  </sheetPr>
  <dimension ref="X6"/>
  <sheetViews>
    <sheetView showGridLines="0" workbookViewId="0">
      <selection activeCell="V45" sqref="V45"/>
    </sheetView>
  </sheetViews>
  <sheetFormatPr defaultRowHeight="15" x14ac:dyDescent="0.25"/>
  <sheetData>
    <row r="6" spans="24:24" x14ac:dyDescent="0.25">
      <c r="X6" s="165"/>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804B-B4D9-4B39-B055-4F22B107DE81}">
  <sheetPr codeName="Sheet2">
    <tabColor rgb="FFD0EF67"/>
  </sheetPr>
  <dimension ref="A1:AH67"/>
  <sheetViews>
    <sheetView showGridLines="0" tabSelected="1" workbookViewId="0">
      <pane ySplit="4" topLeftCell="A53" activePane="bottomLeft" state="frozen"/>
      <selection activeCell="B1" sqref="B1"/>
      <selection pane="bottomLeft" activeCell="R71" sqref="R71"/>
    </sheetView>
  </sheetViews>
  <sheetFormatPr defaultColWidth="8.85546875" defaultRowHeight="15" x14ac:dyDescent="0.25"/>
  <cols>
    <col min="1" max="1" width="8.140625" style="6" hidden="1" customWidth="1"/>
    <col min="2" max="2" width="11.42578125" style="6" hidden="1" customWidth="1"/>
    <col min="3" max="3" width="11.85546875" style="6" hidden="1" customWidth="1"/>
    <col min="4" max="7" width="7.5703125" style="6" hidden="1" customWidth="1"/>
    <col min="8" max="10" width="9.42578125" style="6" hidden="1" customWidth="1"/>
    <col min="11" max="11" width="28" style="9" hidden="1" customWidth="1"/>
    <col min="12" max="12" width="90.5703125" style="9" hidden="1" customWidth="1"/>
    <col min="13" max="13" width="8.85546875" style="12" hidden="1" customWidth="1"/>
    <col min="14" max="14" width="8.85546875" style="17" hidden="1" customWidth="1"/>
    <col min="15" max="15" width="8.85546875" style="17" customWidth="1"/>
    <col min="16" max="16" width="9.42578125" style="16" customWidth="1"/>
    <col min="17" max="17" width="9.42578125" style="16" hidden="1" customWidth="1"/>
    <col min="18" max="18" width="119.5703125" style="2" customWidth="1"/>
    <col min="19" max="19" width="8.85546875" style="16"/>
    <col min="20" max="22" width="8.85546875" style="18" hidden="1" customWidth="1"/>
    <col min="23" max="16384" width="8.85546875" style="6"/>
  </cols>
  <sheetData>
    <row r="1" spans="1:34" x14ac:dyDescent="0.25">
      <c r="A1" s="169"/>
      <c r="B1" s="169"/>
      <c r="C1" s="169"/>
      <c r="D1" s="169"/>
      <c r="E1" s="169"/>
      <c r="F1" s="169"/>
      <c r="G1" s="169"/>
      <c r="H1" s="169"/>
      <c r="I1" s="169"/>
      <c r="J1" s="169"/>
      <c r="K1" s="170"/>
      <c r="L1" s="170"/>
      <c r="M1" s="171"/>
      <c r="N1" s="172"/>
      <c r="O1" s="119"/>
      <c r="P1" s="120"/>
      <c r="Q1" s="120"/>
      <c r="R1" s="131"/>
      <c r="S1" s="160" t="s">
        <v>269</v>
      </c>
      <c r="W1" s="129"/>
      <c r="X1" s="129"/>
      <c r="Y1" s="129"/>
      <c r="Z1" s="129"/>
      <c r="AA1" s="129"/>
      <c r="AB1" s="129"/>
      <c r="AC1" s="129"/>
      <c r="AD1" s="129"/>
      <c r="AE1" s="129"/>
      <c r="AF1" s="129"/>
      <c r="AG1" s="129"/>
      <c r="AH1" s="129"/>
    </row>
    <row r="2" spans="1:34" ht="20.25" x14ac:dyDescent="0.3">
      <c r="A2" s="169"/>
      <c r="B2" s="169"/>
      <c r="C2" s="169"/>
      <c r="D2" s="169"/>
      <c r="E2" s="169"/>
      <c r="F2" s="169"/>
      <c r="G2" s="169"/>
      <c r="H2" s="169"/>
      <c r="I2" s="169"/>
      <c r="J2" s="169"/>
      <c r="K2" s="170"/>
      <c r="L2" s="170"/>
      <c r="M2" s="171"/>
      <c r="N2" s="172"/>
      <c r="O2" s="119"/>
      <c r="P2" s="139" t="s">
        <v>7</v>
      </c>
      <c r="Q2" s="120"/>
      <c r="R2" s="131"/>
      <c r="S2" s="120"/>
      <c r="W2" s="129"/>
      <c r="X2" s="129"/>
      <c r="Y2" s="129"/>
      <c r="Z2" s="129"/>
      <c r="AA2" s="129"/>
      <c r="AB2" s="129"/>
      <c r="AC2" s="129"/>
      <c r="AD2" s="129"/>
      <c r="AE2" s="129"/>
      <c r="AF2" s="129"/>
      <c r="AG2" s="129"/>
      <c r="AH2" s="129"/>
    </row>
    <row r="3" spans="1:34" ht="19.7" customHeight="1" x14ac:dyDescent="0.25">
      <c r="A3" s="164" t="s">
        <v>270</v>
      </c>
      <c r="B3" s="164"/>
      <c r="C3" s="164"/>
      <c r="D3" s="164"/>
      <c r="E3" s="164"/>
      <c r="F3" s="164"/>
      <c r="G3" s="164"/>
      <c r="H3" s="164"/>
      <c r="I3" s="164"/>
      <c r="J3" s="169"/>
      <c r="K3" s="170"/>
      <c r="L3" s="170"/>
      <c r="M3" s="171"/>
      <c r="N3" s="172"/>
      <c r="O3" s="119"/>
      <c r="P3" s="120"/>
      <c r="Q3" s="120"/>
      <c r="R3" s="143" t="str">
        <f>'TEKNINEN - TulostenLasku'!$C$51</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25">
      <c r="A4" s="168" t="s">
        <v>176</v>
      </c>
      <c r="B4" s="71" t="s">
        <v>0</v>
      </c>
      <c r="C4" s="168"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28.5" x14ac:dyDescent="0.2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Turvallinen_ja_toimintavarma!C5)), "K", "E")</f>
        <v>E</v>
      </c>
      <c r="E5" s="3" t="str">
        <f>IF(ISNUMBER(SEARCH(LV!$I$6, Turvallinen_ja_toimintavarma!$C5)), "K", "E")</f>
        <v>E</v>
      </c>
      <c r="F5" s="3" t="str">
        <f>IF(ISNUMBER(SEARCH(LV!$I$7, Turvallinen_ja_toimintavarma!$C5)), "K", "E")</f>
        <v>E</v>
      </c>
      <c r="G5" s="3" t="str">
        <f>IF(ISNUMBER(SEARCH(LV!$I$8, Turvallinen_ja_toimintavarma!$C5)), "K", "E")</f>
        <v>E</v>
      </c>
      <c r="H5" s="3" t="str">
        <f>IF(OR(KysymyksetTaulukko[[#This Row],[Toimiala A]]="K",KysymyksetTaulukko[[#This Row],[Toimiala B]]="K",KysymyksetTaulukko[[#This Row],[Toimiala C]]="K",KysymyksetTaulukko[[#This Row],[Toimiala D]]="K"),"Kuuluu","Ei kuulu")</f>
        <v>Ei kuulu</v>
      </c>
      <c r="I5" s="3" t="str">
        <f>IF(OR(KysymyksetTaulukko[[#This Row],[Luokka]]="Ei kuulu",KysymyksetTaulukko[[#This Row],[Toimiala-
kysymys]]="Ei kuulu"), "Ei kuulu", "Kuuluu")</f>
        <v>Ei kuulu</v>
      </c>
      <c r="J5" s="3" t="str">
        <f>IF(KysymyksetTaulukko[[#This Row],[Luokka + toimiala]]="Kuuluu","a) Oman vesilaitoksen kysymykset","b) Muut kysymykset")</f>
        <v>b) Muut kysymykset</v>
      </c>
      <c r="K5" s="125" t="s">
        <v>7</v>
      </c>
      <c r="L5" s="9" t="s">
        <v>241</v>
      </c>
      <c r="M5" s="59" t="str">
        <f>LEFT(KysymyksetTaulukko[[#This Row],[Alakategoria_]],2)</f>
        <v>_O</v>
      </c>
      <c r="N5" s="107"/>
      <c r="O5" s="66"/>
      <c r="P5" s="67" t="str">
        <f>IF(AND(KysymyksetTaulukko[[#This Row],[Luokka]]="Extra",KysymyksetTaulukko[[#This Row],[Luokka + toimiala]]="Kuuluu"),"Extra","")</f>
        <v/>
      </c>
      <c r="Q5" s="112" t="s">
        <v>177</v>
      </c>
      <c r="R5" s="128" t="s">
        <v>8</v>
      </c>
      <c r="S5" s="158"/>
      <c r="T5" s="121">
        <f>IF(AND(KysymyksetTaulukko[[#This Row],[Luokka + toimiala]]="Kuuluu",KysymyksetTaulukko[[#This Row],[Vastaus]]="Kyllä"),1,0)</f>
        <v>0</v>
      </c>
      <c r="U5" s="121">
        <f>IF(AND(KysymyksetTaulukko[[#This Row],[Maksimipisteet]]=1,NOT(ISBLANK(KysymyksetTaulukko[[#This Row],[Vastaus]]))),1,0)</f>
        <v>0</v>
      </c>
      <c r="V5" s="121">
        <f>IF(OR(KysymyksetTaulukko[[#This Row],[Luokka + toimiala]]="Ei kuulu",KysymyksetTaulukko[[#This Row],[Vastaus]]="Ei koske",KysymyksetTaulukko[[#This Row],[Luokka]]="Extra",KysymyksetTaulukko[[#This Row],[Otsikkorivi]]="Kyllä"),0,1)</f>
        <v>0</v>
      </c>
      <c r="AA5" s="57"/>
      <c r="AB5" s="58"/>
    </row>
    <row r="6" spans="1:34" ht="30" x14ac:dyDescent="0.25">
      <c r="A6" s="3" t="s">
        <v>6</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10</v>
      </c>
      <c r="D6" s="3" t="str">
        <f>IF(ISNUMBER(SEARCH(LV!$I$5, Turvallinen_ja_toimintavarma!C6)), "K", "E")</f>
        <v>E</v>
      </c>
      <c r="E6" s="3" t="str">
        <f>IF(ISNUMBER(SEARCH(LV!$I$6, Turvallinen_ja_toimintavarma!$C6)), "K", "E")</f>
        <v>E</v>
      </c>
      <c r="F6" s="3" t="str">
        <f>IF(ISNUMBER(SEARCH(LV!$I$7, Turvallinen_ja_toimintavarma!$C6)), "K", "E")</f>
        <v>E</v>
      </c>
      <c r="G6" s="3" t="str">
        <f>IF(ISNUMBER(SEARCH(LV!$I$8, Turvallinen_ja_toimintavarma!$C6)), "K", "E")</f>
        <v>E</v>
      </c>
      <c r="H6" s="3" t="str">
        <f>IF(OR(KysymyksetTaulukko[[#This Row],[Toimiala A]]="K",KysymyksetTaulukko[[#This Row],[Toimiala B]]="K",KysymyksetTaulukko[[#This Row],[Toimiala C]]="K",KysymyksetTaulukko[[#This Row],[Toimiala D]]="K"),"Kuuluu","Ei kuulu")</f>
        <v>Ei kuulu</v>
      </c>
      <c r="I6" s="3" t="str">
        <f>IF(OR(KysymyksetTaulukko[[#This Row],[Luokka]]="Ei kuulu",KysymyksetTaulukko[[#This Row],[Toimiala-
kysymys]]="Ei kuulu"), "Ei kuulu", "Kuuluu")</f>
        <v>Ei kuulu</v>
      </c>
      <c r="J6" s="3" t="str">
        <f>IF(KysymyksetTaulukko[[#This Row],[Luokka + toimiala]]="Kuuluu","a) Oman vesilaitoksen kysymykset","b) Muut kysymykset")</f>
        <v>b) Muut kysymykset</v>
      </c>
      <c r="K6" s="125" t="s">
        <v>7</v>
      </c>
      <c r="L6" s="9" t="s">
        <v>8</v>
      </c>
      <c r="M6" s="59" t="str">
        <f>LEFT(KysymyksetTaulukko[[#This Row],[Alakategoria_]],2)</f>
        <v>1.</v>
      </c>
      <c r="N6" s="108" t="s">
        <v>11</v>
      </c>
      <c r="O6" s="68" t="s">
        <v>206</v>
      </c>
      <c r="P6" s="69" t="str">
        <f>IF(AND(KysymyksetTaulukko[[#This Row],[Luokka]]="Extra",KysymyksetTaulukko[[#This Row],[Luokka + toimiala]]="Kuuluu"),"Extra","")</f>
        <v/>
      </c>
      <c r="Q6" s="113"/>
      <c r="R6" s="63" t="s">
        <v>9</v>
      </c>
      <c r="S6" s="159"/>
      <c r="T6" s="122">
        <f>IF(AND(KysymyksetTaulukko[[#This Row],[Luokka + toimiala]]="Kuuluu",KysymyksetTaulukko[[#This Row],[Vastaus]]="Kyllä"),1,0)</f>
        <v>0</v>
      </c>
      <c r="U6" s="121">
        <f>IF(AND(KysymyksetTaulukko[[#This Row],[Maksimipisteet]]=1,NOT(ISBLANK(KysymyksetTaulukko[[#This Row],[Vastaus]]))),1,0)</f>
        <v>0</v>
      </c>
      <c r="V6" s="122">
        <f>IF(OR(KysymyksetTaulukko[[#This Row],[Luokka + toimiala]]="Ei kuulu",KysymyksetTaulukko[[#This Row],[Vastaus]]="Ei koske",KysymyksetTaulukko[[#This Row],[Luokka]]="Extra",KysymyksetTaulukko[[#This Row],[Otsikkorivi]]="Kyllä"),0,1)</f>
        <v>0</v>
      </c>
    </row>
    <row r="7" spans="1:34" ht="28.5" x14ac:dyDescent="0.2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10</v>
      </c>
      <c r="D7" s="3" t="str">
        <f>IF(ISNUMBER(SEARCH(LV!$I$5, Turvallinen_ja_toimintavarma!C7)), "K", "E")</f>
        <v>E</v>
      </c>
      <c r="E7" s="3" t="str">
        <f>IF(ISNUMBER(SEARCH(LV!$I$6, Turvallinen_ja_toimintavarma!$C7)), "K", "E")</f>
        <v>E</v>
      </c>
      <c r="F7" s="3" t="str">
        <f>IF(ISNUMBER(SEARCH(LV!$I$7, Turvallinen_ja_toimintavarma!$C7)), "K", "E")</f>
        <v>E</v>
      </c>
      <c r="G7" s="3" t="str">
        <f>IF(ISNUMBER(SEARCH(LV!$I$8, Turvallinen_ja_toimintavarma!$C7)), "K", "E")</f>
        <v>E</v>
      </c>
      <c r="H7" s="3" t="str">
        <f>IF(OR(KysymyksetTaulukko[[#This Row],[Toimiala A]]="K",KysymyksetTaulukko[[#This Row],[Toimiala B]]="K",KysymyksetTaulukko[[#This Row],[Toimiala C]]="K",KysymyksetTaulukko[[#This Row],[Toimiala D]]="K"),"Kuuluu","Ei kuulu")</f>
        <v>Ei kuulu</v>
      </c>
      <c r="I7" s="3" t="str">
        <f>IF(OR(KysymyksetTaulukko[[#This Row],[Luokka]]="Ei kuulu",KysymyksetTaulukko[[#This Row],[Toimiala-
kysymys]]="Ei kuulu"), "Ei kuulu", "Kuuluu")</f>
        <v>Ei kuulu</v>
      </c>
      <c r="J7" s="3" t="str">
        <f>IF(KysymyksetTaulukko[[#This Row],[Luokka + toimiala]]="Kuuluu","a) Oman vesilaitoksen kysymykset","b) Muut kysymykset")</f>
        <v>b) Muut kysymykset</v>
      </c>
      <c r="K7" s="125" t="s">
        <v>7</v>
      </c>
      <c r="L7" s="9" t="s">
        <v>8</v>
      </c>
      <c r="M7" s="60" t="str">
        <f>LEFT(KysymyksetTaulukko[[#This Row],[Alakategoria_]],2)</f>
        <v>1.</v>
      </c>
      <c r="N7" s="107" t="s">
        <v>11</v>
      </c>
      <c r="O7" s="70" t="s">
        <v>206</v>
      </c>
      <c r="P7" s="67" t="str">
        <f>IF(AND(KysymyksetTaulukko[[#This Row],[Luokka]]="Extra",KysymyksetTaulukko[[#This Row],[Luokka + toimiala]]="Kuuluu"),"Extra","")</f>
        <v/>
      </c>
      <c r="Q7" s="114"/>
      <c r="R7" s="64" t="s">
        <v>13</v>
      </c>
      <c r="S7" s="159"/>
      <c r="T7" s="123">
        <f>IF(AND(KysymyksetTaulukko[[#This Row],[Luokka + toimiala]]="Kuuluu",KysymyksetTaulukko[[#This Row],[Vastaus]]="Kyllä"),1,0)</f>
        <v>0</v>
      </c>
      <c r="U7" s="121">
        <f>IF(AND(KysymyksetTaulukko[[#This Row],[Maksimipisteet]]=1,NOT(ISBLANK(KysymyksetTaulukko[[#This Row],[Vastaus]]))),1,0)</f>
        <v>0</v>
      </c>
      <c r="V7" s="123">
        <f>IF(OR(KysymyksetTaulukko[[#This Row],[Luokka + toimiala]]="Ei kuulu",KysymyksetTaulukko[[#This Row],[Vastaus]]="Ei koske",KysymyksetTaulukko[[#This Row],[Luokka]]="Extra",KysymyksetTaulukko[[#This Row],[Otsikkorivi]]="Kyllä"),0,1)</f>
        <v>0</v>
      </c>
    </row>
    <row r="8" spans="1:34" ht="28.5" x14ac:dyDescent="0.2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10</v>
      </c>
      <c r="D8" s="3" t="str">
        <f>IF(ISNUMBER(SEARCH(LV!$I$5, Turvallinen_ja_toimintavarma!C8)), "K", "E")</f>
        <v>E</v>
      </c>
      <c r="E8" s="3" t="str">
        <f>IF(ISNUMBER(SEARCH(LV!$I$6, Turvallinen_ja_toimintavarma!$C8)), "K", "E")</f>
        <v>E</v>
      </c>
      <c r="F8" s="3" t="str">
        <f>IF(ISNUMBER(SEARCH(LV!$I$7, Turvallinen_ja_toimintavarma!$C8)), "K", "E")</f>
        <v>E</v>
      </c>
      <c r="G8" s="3" t="str">
        <f>IF(ISNUMBER(SEARCH(LV!$I$8, Turvallinen_ja_toimintavarma!$C8)), "K", "E")</f>
        <v>E</v>
      </c>
      <c r="H8" s="3" t="str">
        <f>IF(OR(KysymyksetTaulukko[[#This Row],[Toimiala A]]="K",KysymyksetTaulukko[[#This Row],[Toimiala B]]="K",KysymyksetTaulukko[[#This Row],[Toimiala C]]="K",KysymyksetTaulukko[[#This Row],[Toimiala D]]="K"),"Kuuluu","Ei kuulu")</f>
        <v>Ei kuulu</v>
      </c>
      <c r="I8" s="3" t="str">
        <f>IF(OR(KysymyksetTaulukko[[#This Row],[Luokka]]="Ei kuulu",KysymyksetTaulukko[[#This Row],[Toimiala-
kysymys]]="Ei kuulu"), "Ei kuulu", "Kuuluu")</f>
        <v>Ei kuulu</v>
      </c>
      <c r="J8" s="3" t="str">
        <f>IF(KysymyksetTaulukko[[#This Row],[Luokka + toimiala]]="Kuuluu","a) Oman vesilaitoksen kysymykset","b) Muut kysymykset")</f>
        <v>b) Muut kysymykset</v>
      </c>
      <c r="K8" s="125" t="s">
        <v>7</v>
      </c>
      <c r="L8" s="9" t="s">
        <v>8</v>
      </c>
      <c r="M8" s="60" t="str">
        <f>LEFT(KysymyksetTaulukko[[#This Row],[Alakategoria_]],2)</f>
        <v>1.</v>
      </c>
      <c r="N8" s="107" t="s">
        <v>11</v>
      </c>
      <c r="O8" s="70" t="s">
        <v>206</v>
      </c>
      <c r="P8" s="67" t="str">
        <f>IF(AND(KysymyksetTaulukko[[#This Row],[Luokka]]="Extra",KysymyksetTaulukko[[#This Row],[Luokka + toimiala]]="Kuuluu"),"Extra","")</f>
        <v/>
      </c>
      <c r="Q8" s="114"/>
      <c r="R8" s="64" t="s">
        <v>14</v>
      </c>
      <c r="S8" s="159"/>
      <c r="T8" s="123">
        <f>IF(AND(KysymyksetTaulukko[[#This Row],[Luokka + toimiala]]="Kuuluu",KysymyksetTaulukko[[#This Row],[Vastaus]]="Kyllä"),1,0)</f>
        <v>0</v>
      </c>
      <c r="U8" s="121">
        <f>IF(AND(KysymyksetTaulukko[[#This Row],[Maksimipisteet]]=1,NOT(ISBLANK(KysymyksetTaulukko[[#This Row],[Vastaus]]))),1,0)</f>
        <v>0</v>
      </c>
      <c r="V8" s="123">
        <f>IF(OR(KysymyksetTaulukko[[#This Row],[Luokka + toimiala]]="Ei kuulu",KysymyksetTaulukko[[#This Row],[Vastaus]]="Ei koske",KysymyksetTaulukko[[#This Row],[Luokka]]="Extra",KysymyksetTaulukko[[#This Row],[Otsikkorivi]]="Kyllä"),0,1)</f>
        <v>0</v>
      </c>
    </row>
    <row r="9" spans="1:34" ht="28.5" x14ac:dyDescent="0.2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10</v>
      </c>
      <c r="D9" s="3" t="str">
        <f>IF(ISNUMBER(SEARCH(LV!$I$5, Turvallinen_ja_toimintavarma!C9)), "K", "E")</f>
        <v>E</v>
      </c>
      <c r="E9" s="3" t="str">
        <f>IF(ISNUMBER(SEARCH(LV!$I$6, Turvallinen_ja_toimintavarma!$C9)), "K", "E")</f>
        <v>E</v>
      </c>
      <c r="F9" s="3" t="str">
        <f>IF(ISNUMBER(SEARCH(LV!$I$7, Turvallinen_ja_toimintavarma!$C9)), "K", "E")</f>
        <v>E</v>
      </c>
      <c r="G9" s="3" t="str">
        <f>IF(ISNUMBER(SEARCH(LV!$I$8, Turvallinen_ja_toimintavarma!$C9)), "K", "E")</f>
        <v>E</v>
      </c>
      <c r="H9" s="3" t="str">
        <f>IF(OR(KysymyksetTaulukko[[#This Row],[Toimiala A]]="K",KysymyksetTaulukko[[#This Row],[Toimiala B]]="K",KysymyksetTaulukko[[#This Row],[Toimiala C]]="K",KysymyksetTaulukko[[#This Row],[Toimiala D]]="K"),"Kuuluu","Ei kuulu")</f>
        <v>Ei kuulu</v>
      </c>
      <c r="I9" s="3" t="str">
        <f>IF(OR(KysymyksetTaulukko[[#This Row],[Luokka]]="Ei kuulu",KysymyksetTaulukko[[#This Row],[Toimiala-
kysymys]]="Ei kuulu"), "Ei kuulu", "Kuuluu")</f>
        <v>Ei kuulu</v>
      </c>
      <c r="J9" s="3" t="str">
        <f>IF(KysymyksetTaulukko[[#This Row],[Luokka + toimiala]]="Kuuluu","a) Oman vesilaitoksen kysymykset","b) Muut kysymykset")</f>
        <v>b) Muut kysymykset</v>
      </c>
      <c r="K9" s="125" t="s">
        <v>7</v>
      </c>
      <c r="L9" s="9" t="s">
        <v>8</v>
      </c>
      <c r="M9" s="60" t="str">
        <f>LEFT(KysymyksetTaulukko[[#This Row],[Alakategoria_]],2)</f>
        <v>1.</v>
      </c>
      <c r="N9" s="107"/>
      <c r="O9" s="70" t="s">
        <v>222</v>
      </c>
      <c r="P9" s="67" t="str">
        <f>IF(AND(KysymyksetTaulukko[[#This Row],[Luokka]]="Extra",KysymyksetTaulukko[[#This Row],[Luokka + toimiala]]="Kuuluu"),"Extra","")</f>
        <v/>
      </c>
      <c r="Q9" s="114"/>
      <c r="R9" s="64" t="s">
        <v>15</v>
      </c>
      <c r="S9" s="159"/>
      <c r="T9" s="123">
        <f>IF(AND(KysymyksetTaulukko[[#This Row],[Luokka + toimiala]]="Kuuluu",KysymyksetTaulukko[[#This Row],[Vastaus]]="Kyllä"),1,0)</f>
        <v>0</v>
      </c>
      <c r="U9" s="121">
        <f>IF(AND(KysymyksetTaulukko[[#This Row],[Maksimipisteet]]=1,NOT(ISBLANK(KysymyksetTaulukko[[#This Row],[Vastaus]]))),1,0)</f>
        <v>0</v>
      </c>
      <c r="V9" s="123">
        <f>IF(OR(KysymyksetTaulukko[[#This Row],[Luokka + toimiala]]="Ei kuulu",KysymyksetTaulukko[[#This Row],[Vastaus]]="Ei koske",KysymyksetTaulukko[[#This Row],[Luokka]]="Extra",KysymyksetTaulukko[[#This Row],[Otsikkorivi]]="Kyllä"),0,1)</f>
        <v>0</v>
      </c>
    </row>
    <row r="10" spans="1:34" ht="30" x14ac:dyDescent="0.25">
      <c r="A10" s="3" t="s">
        <v>12</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17</v>
      </c>
      <c r="D10" s="3" t="str">
        <f>IF(ISNUMBER(SEARCH(LV!$I$5, Turvallinen_ja_toimintavarma!C10)), "K", "E")</f>
        <v>E</v>
      </c>
      <c r="E10" s="3" t="str">
        <f>IF(ISNUMBER(SEARCH(LV!$I$6, Turvallinen_ja_toimintavarma!$C10)), "K", "E")</f>
        <v>E</v>
      </c>
      <c r="F10" s="3" t="str">
        <f>IF(ISNUMBER(SEARCH(LV!$I$7, Turvallinen_ja_toimintavarma!$C10)), "K", "E")</f>
        <v>E</v>
      </c>
      <c r="G10" s="3" t="str">
        <f>IF(ISNUMBER(SEARCH(LV!$I$8, Turvallinen_ja_toimintavarma!$C10)), "K", "E")</f>
        <v>E</v>
      </c>
      <c r="H10" s="3" t="str">
        <f>IF(OR(KysymyksetTaulukko[[#This Row],[Toimiala A]]="K",KysymyksetTaulukko[[#This Row],[Toimiala B]]="K",KysymyksetTaulukko[[#This Row],[Toimiala C]]="K",KysymyksetTaulukko[[#This Row],[Toimiala D]]="K"),"Kuuluu","Ei kuulu")</f>
        <v>Ei kuulu</v>
      </c>
      <c r="I10" s="3" t="str">
        <f>IF(OR(KysymyksetTaulukko[[#This Row],[Luokka]]="Ei kuulu",KysymyksetTaulukko[[#This Row],[Toimiala-
kysymys]]="Ei kuulu"), "Ei kuulu", "Kuuluu")</f>
        <v>Ei kuulu</v>
      </c>
      <c r="J10" s="3" t="str">
        <f>IF(KysymyksetTaulukko[[#This Row],[Luokka + toimiala]]="Kuuluu","a) Oman vesilaitoksen kysymykset","b) Muut kysymykset")</f>
        <v>b) Muut kysymykset</v>
      </c>
      <c r="K10" s="125" t="s">
        <v>7</v>
      </c>
      <c r="L10" s="9" t="s">
        <v>8</v>
      </c>
      <c r="M10" s="60" t="str">
        <f>LEFT(KysymyksetTaulukko[[#This Row],[Alakategoria_]],2)</f>
        <v>1.</v>
      </c>
      <c r="N10" s="107"/>
      <c r="O10" s="70" t="s">
        <v>222</v>
      </c>
      <c r="P10" s="67" t="str">
        <f>IF(AND(KysymyksetTaulukko[[#This Row],[Luokka]]="Extra",KysymyksetTaulukko[[#This Row],[Luokka + toimiala]]="Kuuluu"),"Extra","")</f>
        <v/>
      </c>
      <c r="Q10" s="114"/>
      <c r="R10" s="64" t="s">
        <v>16</v>
      </c>
      <c r="S10" s="159"/>
      <c r="T10" s="123">
        <f>IF(AND(KysymyksetTaulukko[[#This Row],[Luokka + toimiala]]="Kuuluu",KysymyksetTaulukko[[#This Row],[Vastaus]]="Kyllä"),1,0)</f>
        <v>0</v>
      </c>
      <c r="U10" s="121">
        <f>IF(AND(KysymyksetTaulukko[[#This Row],[Maksimipisteet]]=1,NOT(ISBLANK(KysymyksetTaulukko[[#This Row],[Vastaus]]))),1,0)</f>
        <v>0</v>
      </c>
      <c r="V10" s="123">
        <f>IF(OR(KysymyksetTaulukko[[#This Row],[Luokka + toimiala]]="Ei kuulu",KysymyksetTaulukko[[#This Row],[Vastaus]]="Ei koske",KysymyksetTaulukko[[#This Row],[Luokka]]="Extra",KysymyksetTaulukko[[#This Row],[Otsikkorivi]]="Kyllä"),0,1)</f>
        <v>0</v>
      </c>
    </row>
    <row r="11" spans="1:34" ht="30" x14ac:dyDescent="0.25">
      <c r="A11" s="3" t="s">
        <v>12</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17</v>
      </c>
      <c r="D11" s="3" t="str">
        <f>IF(ISNUMBER(SEARCH(LV!$I$5, Turvallinen_ja_toimintavarma!C11)), "K", "E")</f>
        <v>E</v>
      </c>
      <c r="E11" s="3" t="str">
        <f>IF(ISNUMBER(SEARCH(LV!$I$6, Turvallinen_ja_toimintavarma!$C11)), "K", "E")</f>
        <v>E</v>
      </c>
      <c r="F11" s="3" t="str">
        <f>IF(ISNUMBER(SEARCH(LV!$I$7, Turvallinen_ja_toimintavarma!$C11)), "K", "E")</f>
        <v>E</v>
      </c>
      <c r="G11" s="3" t="str">
        <f>IF(ISNUMBER(SEARCH(LV!$I$8, Turvallinen_ja_toimintavarma!$C11)), "K", "E")</f>
        <v>E</v>
      </c>
      <c r="H11" s="3" t="str">
        <f>IF(OR(KysymyksetTaulukko[[#This Row],[Toimiala A]]="K",KysymyksetTaulukko[[#This Row],[Toimiala B]]="K",KysymyksetTaulukko[[#This Row],[Toimiala C]]="K",KysymyksetTaulukko[[#This Row],[Toimiala D]]="K"),"Kuuluu","Ei kuulu")</f>
        <v>Ei kuulu</v>
      </c>
      <c r="I11" s="3" t="str">
        <f>IF(OR(KysymyksetTaulukko[[#This Row],[Luokka]]="Ei kuulu",KysymyksetTaulukko[[#This Row],[Toimiala-
kysymys]]="Ei kuulu"), "Ei kuulu", "Kuuluu")</f>
        <v>Ei kuulu</v>
      </c>
      <c r="J11" s="3" t="str">
        <f>IF(KysymyksetTaulukko[[#This Row],[Luokka + toimiala]]="Kuuluu","a) Oman vesilaitoksen kysymykset","b) Muut kysymykset")</f>
        <v>b) Muut kysymykset</v>
      </c>
      <c r="K11" s="125" t="s">
        <v>7</v>
      </c>
      <c r="L11" s="9" t="s">
        <v>8</v>
      </c>
      <c r="M11" s="60" t="str">
        <f>LEFT(KysymyksetTaulukko[[#This Row],[Alakategoria_]],2)</f>
        <v>1.</v>
      </c>
      <c r="N11" s="107"/>
      <c r="O11" s="70" t="s">
        <v>222</v>
      </c>
      <c r="P11" s="67" t="str">
        <f>IF(AND(KysymyksetTaulukko[[#This Row],[Luokka]]="Extra",KysymyksetTaulukko[[#This Row],[Luokka + toimiala]]="Kuuluu"),"Extra","")</f>
        <v/>
      </c>
      <c r="Q11" s="114"/>
      <c r="R11" s="64" t="s">
        <v>18</v>
      </c>
      <c r="S11" s="159"/>
      <c r="T11" s="123">
        <f>IF(AND(KysymyksetTaulukko[[#This Row],[Luokka + toimiala]]="Kuuluu",KysymyksetTaulukko[[#This Row],[Vastaus]]="Kyllä"),1,0)</f>
        <v>0</v>
      </c>
      <c r="U11" s="121">
        <f>IF(AND(KysymyksetTaulukko[[#This Row],[Maksimipisteet]]=1,NOT(ISBLANK(KysymyksetTaulukko[[#This Row],[Vastaus]]))),1,0)</f>
        <v>0</v>
      </c>
      <c r="V11" s="123">
        <f>IF(OR(KysymyksetTaulukko[[#This Row],[Luokka + toimiala]]="Ei kuulu",KysymyksetTaulukko[[#This Row],[Vastaus]]="Ei koske",KysymyksetTaulukko[[#This Row],[Luokka]]="Extra",KysymyksetTaulukko[[#This Row],[Otsikkorivi]]="Kyllä"),0,1)</f>
        <v>0</v>
      </c>
    </row>
    <row r="12" spans="1:34" s="1" customFormat="1" ht="30" x14ac:dyDescent="0.25">
      <c r="A12" s="3" t="s">
        <v>19</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21</v>
      </c>
      <c r="D12" s="3" t="str">
        <f>IF(ISNUMBER(SEARCH(LV!$I$5, Turvallinen_ja_toimintavarma!C12)), "K", "E")</f>
        <v>E</v>
      </c>
      <c r="E12" s="3" t="str">
        <f>IF(ISNUMBER(SEARCH(LV!$I$6, Turvallinen_ja_toimintavarma!$C12)), "K", "E")</f>
        <v>E</v>
      </c>
      <c r="F12" s="3" t="str">
        <f>IF(ISNUMBER(SEARCH(LV!$I$7, Turvallinen_ja_toimintavarma!$C12)), "K", "E")</f>
        <v>E</v>
      </c>
      <c r="G12" s="3" t="str">
        <f>IF(ISNUMBER(SEARCH(LV!$I$8, Turvallinen_ja_toimintavarma!$C12)), "K", "E")</f>
        <v>E</v>
      </c>
      <c r="H12" s="3" t="str">
        <f>IF(OR(KysymyksetTaulukko[[#This Row],[Toimiala A]]="K",KysymyksetTaulukko[[#This Row],[Toimiala B]]="K",KysymyksetTaulukko[[#This Row],[Toimiala C]]="K",KysymyksetTaulukko[[#This Row],[Toimiala D]]="K"),"Kuuluu","Ei kuulu")</f>
        <v>Ei kuulu</v>
      </c>
      <c r="I12" s="3" t="str">
        <f>IF(OR(KysymyksetTaulukko[[#This Row],[Luokka]]="Ei kuulu",KysymyksetTaulukko[[#This Row],[Toimiala-
kysymys]]="Ei kuulu"), "Ei kuulu", "Kuuluu")</f>
        <v>Ei kuulu</v>
      </c>
      <c r="J12" s="3" t="str">
        <f>IF(KysymyksetTaulukko[[#This Row],[Luokka + toimiala]]="Kuuluu","a) Oman vesilaitoksen kysymykset","b) Muut kysymykset")</f>
        <v>b) Muut kysymykset</v>
      </c>
      <c r="K12" s="125" t="s">
        <v>7</v>
      </c>
      <c r="L12" s="9" t="s">
        <v>8</v>
      </c>
      <c r="M12" s="60" t="str">
        <f>LEFT(KysymyksetTaulukko[[#This Row],[Alakategoria_]],2)</f>
        <v>1.</v>
      </c>
      <c r="N12" s="107"/>
      <c r="O12" s="70" t="s">
        <v>222</v>
      </c>
      <c r="P12" s="67" t="str">
        <f>IF(AND(KysymyksetTaulukko[[#This Row],[Luokka]]="Extra",KysymyksetTaulukko[[#This Row],[Luokka + toimiala]]="Kuuluu"),"Extra","")</f>
        <v/>
      </c>
      <c r="Q12" s="114"/>
      <c r="R12" s="64" t="s">
        <v>20</v>
      </c>
      <c r="S12" s="159"/>
      <c r="T12" s="123">
        <f>IF(AND(KysymyksetTaulukko[[#This Row],[Luokka + toimiala]]="Kuuluu",KysymyksetTaulukko[[#This Row],[Vastaus]]="Kyllä"),1,0)</f>
        <v>0</v>
      </c>
      <c r="U12" s="121">
        <f>IF(AND(KysymyksetTaulukko[[#This Row],[Maksimipisteet]]=1,NOT(ISBLANK(KysymyksetTaulukko[[#This Row],[Vastaus]]))),1,0)</f>
        <v>0</v>
      </c>
      <c r="V12" s="123">
        <f>IF(OR(KysymyksetTaulukko[[#This Row],[Luokka + toimiala]]="Ei kuulu",KysymyksetTaulukko[[#This Row],[Vastaus]]="Ei koske",KysymyksetTaulukko[[#This Row],[Luokka]]="Extra",KysymyksetTaulukko[[#This Row],[Otsikkorivi]]="Kyllä"),0,1)</f>
        <v>0</v>
      </c>
    </row>
    <row r="13" spans="1:34" s="1" customFormat="1" ht="60" x14ac:dyDescent="0.25">
      <c r="A13" s="3">
        <v>4</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21</v>
      </c>
      <c r="D13" s="3" t="str">
        <f>IF(ISNUMBER(SEARCH(LV!$I$5, Turvallinen_ja_toimintavarma!C13)), "K", "E")</f>
        <v>E</v>
      </c>
      <c r="E13" s="3" t="str">
        <f>IF(ISNUMBER(SEARCH(LV!$I$6, Turvallinen_ja_toimintavarma!$C13)), "K", "E")</f>
        <v>E</v>
      </c>
      <c r="F13" s="3" t="str">
        <f>IF(ISNUMBER(SEARCH(LV!$I$7, Turvallinen_ja_toimintavarma!$C13)), "K", "E")</f>
        <v>E</v>
      </c>
      <c r="G13" s="3" t="str">
        <f>IF(ISNUMBER(SEARCH(LV!$I$8, Turvallinen_ja_toimintavarma!$C13)), "K", "E")</f>
        <v>E</v>
      </c>
      <c r="H13" s="3" t="str">
        <f>IF(OR(KysymyksetTaulukko[[#This Row],[Toimiala A]]="K",KysymyksetTaulukko[[#This Row],[Toimiala B]]="K",KysymyksetTaulukko[[#This Row],[Toimiala C]]="K",KysymyksetTaulukko[[#This Row],[Toimiala D]]="K"),"Kuuluu","Ei kuulu")</f>
        <v>Ei kuulu</v>
      </c>
      <c r="I13" s="3" t="str">
        <f>IF(OR(KysymyksetTaulukko[[#This Row],[Luokka]]="Ei kuulu",KysymyksetTaulukko[[#This Row],[Toimiala-
kysymys]]="Ei kuulu"), "Ei kuulu", "Kuuluu")</f>
        <v>Ei kuulu</v>
      </c>
      <c r="J13" s="3" t="str">
        <f>IF(KysymyksetTaulukko[[#This Row],[Luokka + toimiala]]="Kuuluu","a) Oman vesilaitoksen kysymykset","b) Muut kysymykset")</f>
        <v>b) Muut kysymykset</v>
      </c>
      <c r="K13" s="125" t="s">
        <v>7</v>
      </c>
      <c r="L13" s="9" t="s">
        <v>8</v>
      </c>
      <c r="M13" s="60" t="str">
        <f>LEFT(KysymyksetTaulukko[[#This Row],[Alakategoria_]],2)</f>
        <v>1.</v>
      </c>
      <c r="N13" s="107"/>
      <c r="O13" s="70" t="s">
        <v>222</v>
      </c>
      <c r="P13" s="67" t="str">
        <f>IF(AND(KysymyksetTaulukko[[#This Row],[Luokka]]="Extra",KysymyksetTaulukko[[#This Row],[Luokka + toimiala]]="Kuuluu"),"Extra","")</f>
        <v/>
      </c>
      <c r="Q13" s="114"/>
      <c r="R13" s="64" t="s">
        <v>22</v>
      </c>
      <c r="S13" s="159"/>
      <c r="T13" s="123">
        <f>IF(AND(KysymyksetTaulukko[[#This Row],[Luokka + toimiala]]="Kuuluu",KysymyksetTaulukko[[#This Row],[Vastaus]]="Kyllä"),1,0)</f>
        <v>0</v>
      </c>
      <c r="U13" s="121">
        <f>IF(AND(KysymyksetTaulukko[[#This Row],[Maksimipisteet]]=1,NOT(ISBLANK(KysymyksetTaulukko[[#This Row],[Vastaus]]))),1,0)</f>
        <v>0</v>
      </c>
      <c r="V13" s="123">
        <f>IF(OR(KysymyksetTaulukko[[#This Row],[Luokka + toimiala]]="Ei kuulu",KysymyksetTaulukko[[#This Row],[Vastaus]]="Ei koske",KysymyksetTaulukko[[#This Row],[Luokka]]="Extra",KysymyksetTaulukko[[#This Row],[Otsikkorivi]]="Kyllä"),0,1)</f>
        <v>0</v>
      </c>
    </row>
    <row r="14" spans="1:34" s="1" customFormat="1" ht="30" x14ac:dyDescent="0.25">
      <c r="A14" s="3">
        <v>4</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65" t="s">
        <v>21</v>
      </c>
      <c r="D14" s="65" t="str">
        <f>IF(ISNUMBER(SEARCH(LV!$I$5, Turvallinen_ja_toimintavarma!C14)), "K", "E")</f>
        <v>E</v>
      </c>
      <c r="E14" s="65" t="str">
        <f>IF(ISNUMBER(SEARCH(LV!$I$6, Turvallinen_ja_toimintavarma!$C14)), "K", "E")</f>
        <v>E</v>
      </c>
      <c r="F14" s="65" t="str">
        <f>IF(ISNUMBER(SEARCH(LV!$I$7, Turvallinen_ja_toimintavarma!$C14)), "K", "E")</f>
        <v>E</v>
      </c>
      <c r="G14" s="65" t="str">
        <f>IF(ISNUMBER(SEARCH(LV!$I$8, Turvallinen_ja_toimintavarma!$C14)), "K", "E")</f>
        <v>E</v>
      </c>
      <c r="H14" s="65" t="str">
        <f>IF(OR(KysymyksetTaulukko[[#This Row],[Toimiala A]]="K",KysymyksetTaulukko[[#This Row],[Toimiala B]]="K",KysymyksetTaulukko[[#This Row],[Toimiala C]]="K",KysymyksetTaulukko[[#This Row],[Toimiala D]]="K"),"Kuuluu","Ei kuulu")</f>
        <v>Ei kuulu</v>
      </c>
      <c r="I14" s="65" t="str">
        <f>IF(OR(KysymyksetTaulukko[[#This Row],[Luokka]]="Ei kuulu",KysymyksetTaulukko[[#This Row],[Toimiala-
kysymys]]="Ei kuulu"), "Ei kuulu", "Kuuluu")</f>
        <v>Ei kuulu</v>
      </c>
      <c r="J14" s="65" t="str">
        <f>IF(KysymyksetTaulukko[[#This Row],[Luokka + toimiala]]="Kuuluu","a) Oman vesilaitoksen kysymykset","b) Muut kysymykset")</f>
        <v>b) Muut kysymykset</v>
      </c>
      <c r="K14" s="125" t="s">
        <v>7</v>
      </c>
      <c r="L14" s="9" t="s">
        <v>8</v>
      </c>
      <c r="M14" s="61" t="str">
        <f>LEFT(KysymyksetTaulukko[[#This Row],[Alakategoria_]],2)</f>
        <v>1.</v>
      </c>
      <c r="N14" s="109" t="s">
        <v>11</v>
      </c>
      <c r="O14" s="70" t="s">
        <v>206</v>
      </c>
      <c r="P14" s="67" t="str">
        <f>IF(AND(KysymyksetTaulukko[[#This Row],[Luokka]]="Extra",KysymyksetTaulukko[[#This Row],[Luokka + toimiala]]="Kuuluu"),"Extra","")</f>
        <v/>
      </c>
      <c r="Q14" s="114"/>
      <c r="R14" s="64" t="s">
        <v>23</v>
      </c>
      <c r="S14" s="159"/>
      <c r="T14" s="123">
        <f>IF(AND(KysymyksetTaulukko[[#This Row],[Luokka + toimiala]]="Kuuluu",KysymyksetTaulukko[[#This Row],[Vastaus]]="Kyllä"),1,0)</f>
        <v>0</v>
      </c>
      <c r="U14" s="121">
        <f>IF(AND(KysymyksetTaulukko[[#This Row],[Maksimipisteet]]=1,NOT(ISBLANK(KysymyksetTaulukko[[#This Row],[Vastaus]]))),1,0)</f>
        <v>0</v>
      </c>
      <c r="V14" s="123">
        <f>IF(OR(KysymyksetTaulukko[[#This Row],[Luokka + toimiala]]="Ei kuulu",KysymyksetTaulukko[[#This Row],[Vastaus]]="Ei koske",KysymyksetTaulukko[[#This Row],[Luokka]]="Extra",KysymyksetTaulukko[[#This Row],[Otsikkorivi]]="Kyllä"),0,1)</f>
        <v>0</v>
      </c>
    </row>
    <row r="15" spans="1:34" ht="30" x14ac:dyDescent="0.25">
      <c r="A15" s="3">
        <v>4</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17</v>
      </c>
      <c r="D15" s="3" t="str">
        <f>IF(ISNUMBER(SEARCH(LV!$I$5, Turvallinen_ja_toimintavarma!C15)), "K", "E")</f>
        <v>E</v>
      </c>
      <c r="E15" s="3" t="str">
        <f>IF(ISNUMBER(SEARCH(LV!$I$6, Turvallinen_ja_toimintavarma!$C15)), "K", "E")</f>
        <v>E</v>
      </c>
      <c r="F15" s="3" t="str">
        <f>IF(ISNUMBER(SEARCH(LV!$I$7, Turvallinen_ja_toimintavarma!$C15)), "K", "E")</f>
        <v>E</v>
      </c>
      <c r="G15" s="3" t="str">
        <f>IF(ISNUMBER(SEARCH(LV!$I$8, Turvallinen_ja_toimintavarma!$C15)), "K", "E")</f>
        <v>E</v>
      </c>
      <c r="H15" s="3" t="str">
        <f>IF(OR(KysymyksetTaulukko[[#This Row],[Toimiala A]]="K",KysymyksetTaulukko[[#This Row],[Toimiala B]]="K",KysymyksetTaulukko[[#This Row],[Toimiala C]]="K",KysymyksetTaulukko[[#This Row],[Toimiala D]]="K"),"Kuuluu","Ei kuulu")</f>
        <v>Ei kuulu</v>
      </c>
      <c r="I15" s="3" t="str">
        <f>IF(OR(KysymyksetTaulukko[[#This Row],[Luokka]]="Ei kuulu",KysymyksetTaulukko[[#This Row],[Toimiala-
kysymys]]="Ei kuulu"), "Ei kuulu", "Kuuluu")</f>
        <v>Ei kuulu</v>
      </c>
      <c r="J15" s="3" t="str">
        <f>IF(KysymyksetTaulukko[[#This Row],[Luokka + toimiala]]="Kuuluu","a) Oman vesilaitoksen kysymykset","b) Muut kysymykset")</f>
        <v>b) Muut kysymykset</v>
      </c>
      <c r="K15" s="125" t="s">
        <v>7</v>
      </c>
      <c r="L15" s="9" t="s">
        <v>8</v>
      </c>
      <c r="M15" s="61" t="str">
        <f>LEFT(KysymyksetTaulukko[[#This Row],[Alakategoria_]],2)</f>
        <v>1.</v>
      </c>
      <c r="N15" s="109"/>
      <c r="O15" s="70" t="s">
        <v>222</v>
      </c>
      <c r="P15" s="67" t="str">
        <f>IF(AND(KysymyksetTaulukko[[#This Row],[Luokka]]="Extra",KysymyksetTaulukko[[#This Row],[Luokka + toimiala]]="Kuuluu"),"Extra","")</f>
        <v/>
      </c>
      <c r="Q15" s="114"/>
      <c r="R15" s="64" t="s">
        <v>24</v>
      </c>
      <c r="S15" s="159"/>
      <c r="T15" s="123">
        <f>IF(AND(KysymyksetTaulukko[[#This Row],[Luokka + toimiala]]="Kuuluu",KysymyksetTaulukko[[#This Row],[Vastaus]]="Kyllä"),1,0)</f>
        <v>0</v>
      </c>
      <c r="U15" s="121">
        <f>IF(AND(KysymyksetTaulukko[[#This Row],[Maksimipisteet]]=1,NOT(ISBLANK(KysymyksetTaulukko[[#This Row],[Vastaus]]))),1,0)</f>
        <v>0</v>
      </c>
      <c r="V15" s="123">
        <f>IF(OR(KysymyksetTaulukko[[#This Row],[Luokka + toimiala]]="Ei kuulu",KysymyksetTaulukko[[#This Row],[Vastaus]]="Ei koske",KysymyksetTaulukko[[#This Row],[Luokka]]="Extra",KysymyksetTaulukko[[#This Row],[Otsikkorivi]]="Kyllä"),0,1)</f>
        <v>0</v>
      </c>
    </row>
    <row r="16" spans="1:34" s="1" customFormat="1" ht="30" x14ac:dyDescent="0.25">
      <c r="A16" s="3">
        <v>5</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65" t="s">
        <v>21</v>
      </c>
      <c r="D16" s="65" t="str">
        <f>IF(ISNUMBER(SEARCH(LV!$I$5, Turvallinen_ja_toimintavarma!C16)), "K", "E")</f>
        <v>E</v>
      </c>
      <c r="E16" s="65" t="str">
        <f>IF(ISNUMBER(SEARCH(LV!$I$6, Turvallinen_ja_toimintavarma!$C16)), "K", "E")</f>
        <v>E</v>
      </c>
      <c r="F16" s="65" t="str">
        <f>IF(ISNUMBER(SEARCH(LV!$I$7, Turvallinen_ja_toimintavarma!$C16)), "K", "E")</f>
        <v>E</v>
      </c>
      <c r="G16" s="65" t="str">
        <f>IF(ISNUMBER(SEARCH(LV!$I$8, Turvallinen_ja_toimintavarma!$C16)), "K", "E")</f>
        <v>E</v>
      </c>
      <c r="H16" s="65" t="str">
        <f>IF(OR(KysymyksetTaulukko[[#This Row],[Toimiala A]]="K",KysymyksetTaulukko[[#This Row],[Toimiala B]]="K",KysymyksetTaulukko[[#This Row],[Toimiala C]]="K",KysymyksetTaulukko[[#This Row],[Toimiala D]]="K"),"Kuuluu","Ei kuulu")</f>
        <v>Ei kuulu</v>
      </c>
      <c r="I16" s="65" t="str">
        <f>IF(OR(KysymyksetTaulukko[[#This Row],[Luokka]]="Ei kuulu",KysymyksetTaulukko[[#This Row],[Toimiala-
kysymys]]="Ei kuulu"), "Ei kuulu", "Kuuluu")</f>
        <v>Ei kuulu</v>
      </c>
      <c r="J16" s="65" t="str">
        <f>IF(KysymyksetTaulukko[[#This Row],[Luokka + toimiala]]="Kuuluu","a) Oman vesilaitoksen kysymykset","b) Muut kysymykset")</f>
        <v>b) Muut kysymykset</v>
      </c>
      <c r="K16" s="125" t="s">
        <v>7</v>
      </c>
      <c r="L16" s="9" t="s">
        <v>8</v>
      </c>
      <c r="M16" s="61" t="str">
        <f>LEFT(KysymyksetTaulukko[[#This Row],[Alakategoria_]],2)</f>
        <v>1.</v>
      </c>
      <c r="N16" s="109"/>
      <c r="O16" s="70" t="s">
        <v>222</v>
      </c>
      <c r="P16" s="67" t="str">
        <f>IF(AND(KysymyksetTaulukko[[#This Row],[Luokka]]="Extra",KysymyksetTaulukko[[#This Row],[Luokka + toimiala]]="Kuuluu"),"Extra","")</f>
        <v/>
      </c>
      <c r="Q16" s="114"/>
      <c r="R16" s="64" t="s">
        <v>25</v>
      </c>
      <c r="S16" s="159"/>
      <c r="T16" s="123">
        <f>IF(AND(KysymyksetTaulukko[[#This Row],[Luokka + toimiala]]="Kuuluu",KysymyksetTaulukko[[#This Row],[Vastaus]]="Kyllä"),1,0)</f>
        <v>0</v>
      </c>
      <c r="U16" s="121">
        <f>IF(AND(KysymyksetTaulukko[[#This Row],[Maksimipisteet]]=1,NOT(ISBLANK(KysymyksetTaulukko[[#This Row],[Vastaus]]))),1,0)</f>
        <v>0</v>
      </c>
      <c r="V16" s="123">
        <f>IF(OR(KysymyksetTaulukko[[#This Row],[Luokka + toimiala]]="Ei kuulu",KysymyksetTaulukko[[#This Row],[Vastaus]]="Ei koske",KysymyksetTaulukko[[#This Row],[Luokka]]="Extra",KysymyksetTaulukko[[#This Row],[Otsikkorivi]]="Kyllä"),0,1)</f>
        <v>0</v>
      </c>
    </row>
    <row r="17" spans="1:22" s="1" customFormat="1" ht="28.5" x14ac:dyDescent="0.25">
      <c r="A17" s="3" t="s">
        <v>6</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Turvallinen_ja_toimintavarma!C17)), "K", "E")</f>
        <v>E</v>
      </c>
      <c r="E17" s="3" t="str">
        <f>IF(ISNUMBER(SEARCH(LV!$I$6, Turvallinen_ja_toimintavarma!$C17)), "K", "E")</f>
        <v>E</v>
      </c>
      <c r="F17" s="3" t="str">
        <f>IF(ISNUMBER(SEARCH(LV!$I$7, Turvallinen_ja_toimintavarma!$C17)), "K", "E")</f>
        <v>E</v>
      </c>
      <c r="G17" s="3" t="str">
        <f>IF(ISNUMBER(SEARCH(LV!$I$8, Turvallinen_ja_toimintavarma!$C17)), "K", "E")</f>
        <v>E</v>
      </c>
      <c r="H17" s="3" t="str">
        <f>IF(OR(KysymyksetTaulukko[[#This Row],[Toimiala A]]="K",KysymyksetTaulukko[[#This Row],[Toimiala B]]="K",KysymyksetTaulukko[[#This Row],[Toimiala C]]="K",KysymyksetTaulukko[[#This Row],[Toimiala D]]="K"),"Kuuluu","Ei kuulu")</f>
        <v>Ei kuulu</v>
      </c>
      <c r="I17" s="3" t="str">
        <f>IF(OR(KysymyksetTaulukko[[#This Row],[Luokka]]="Ei kuulu",KysymyksetTaulukko[[#This Row],[Toimiala-
kysymys]]="Ei kuulu"), "Ei kuulu", "Kuuluu")</f>
        <v>Ei kuulu</v>
      </c>
      <c r="J17" s="3" t="str">
        <f>IF(KysymyksetTaulukko[[#This Row],[Luokka + toimiala]]="Kuuluu","a) Oman vesilaitoksen kysymykset","b) Muut kysymykset")</f>
        <v>b) Muut kysymykset</v>
      </c>
      <c r="K17" s="125" t="s">
        <v>7</v>
      </c>
      <c r="L17" s="9" t="s">
        <v>241</v>
      </c>
      <c r="M17" s="61" t="str">
        <f>LEFT(KysymyksetTaulukko[[#This Row],[Alakategoria_]],2)</f>
        <v>_O</v>
      </c>
      <c r="N17" s="107"/>
      <c r="O17" s="70"/>
      <c r="P17" s="67" t="str">
        <f>IF(AND(KysymyksetTaulukko[[#This Row],[Luokka]]="Extra",KysymyksetTaulukko[[#This Row],[Luokka + toimiala]]="Kuuluu"),"Extra","")</f>
        <v/>
      </c>
      <c r="Q17" s="114" t="s">
        <v>177</v>
      </c>
      <c r="R17" s="128" t="s">
        <v>26</v>
      </c>
      <c r="S17" s="158"/>
      <c r="T17" s="123">
        <f>IF(AND(KysymyksetTaulukko[[#This Row],[Luokka + toimiala]]="Kuuluu",KysymyksetTaulukko[[#This Row],[Vastaus]]="Kyllä"),1,0)</f>
        <v>0</v>
      </c>
      <c r="U17" s="121">
        <f>IF(AND(KysymyksetTaulukko[[#This Row],[Maksimipisteet]]=1,NOT(ISBLANK(KysymyksetTaulukko[[#This Row],[Vastaus]]))),1,0)</f>
        <v>0</v>
      </c>
      <c r="V17" s="123">
        <f>IF(OR(KysymyksetTaulukko[[#This Row],[Luokka + toimiala]]="Ei kuulu",KysymyksetTaulukko[[#This Row],[Vastaus]]="Ei koske",KysymyksetTaulukko[[#This Row],[Luokka]]="Extra",KysymyksetTaulukko[[#This Row],[Otsikkorivi]]="Kyllä"),0,1)</f>
        <v>0</v>
      </c>
    </row>
    <row r="18" spans="1:22" ht="28.5" x14ac:dyDescent="0.25">
      <c r="A18" s="7" t="s">
        <v>12</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7" t="s">
        <v>28</v>
      </c>
      <c r="D18" s="7" t="str">
        <f>IF(ISNUMBER(SEARCH(LV!$I$5, Turvallinen_ja_toimintavarma!C18)), "K", "E")</f>
        <v>E</v>
      </c>
      <c r="E18" s="7" t="str">
        <f>IF(ISNUMBER(SEARCH(LV!$I$6, Turvallinen_ja_toimintavarma!$C18)), "K", "E")</f>
        <v>E</v>
      </c>
      <c r="F18" s="7" t="str">
        <f>IF(ISNUMBER(SEARCH(LV!$I$7, Turvallinen_ja_toimintavarma!$C18)), "K", "E")</f>
        <v>E</v>
      </c>
      <c r="G18" s="7" t="str">
        <f>IF(ISNUMBER(SEARCH(LV!$I$8, Turvallinen_ja_toimintavarma!$C18)), "K", "E")</f>
        <v>E</v>
      </c>
      <c r="H18" s="7" t="str">
        <f>IF(OR(KysymyksetTaulukko[[#This Row],[Toimiala A]]="K",KysymyksetTaulukko[[#This Row],[Toimiala B]]="K",KysymyksetTaulukko[[#This Row],[Toimiala C]]="K",KysymyksetTaulukko[[#This Row],[Toimiala D]]="K"),"Kuuluu","Ei kuulu")</f>
        <v>Ei kuulu</v>
      </c>
      <c r="I18" s="7" t="str">
        <f>IF(OR(KysymyksetTaulukko[[#This Row],[Luokka]]="Ei kuulu",KysymyksetTaulukko[[#This Row],[Toimiala-
kysymys]]="Ei kuulu"), "Ei kuulu", "Kuuluu")</f>
        <v>Ei kuulu</v>
      </c>
      <c r="J18" s="7" t="str">
        <f>IF(KysymyksetTaulukko[[#This Row],[Luokka + toimiala]]="Kuuluu","a) Oman vesilaitoksen kysymykset","b) Muut kysymykset")</f>
        <v>b) Muut kysymykset</v>
      </c>
      <c r="K18" s="125" t="s">
        <v>7</v>
      </c>
      <c r="L18" s="9" t="s">
        <v>26</v>
      </c>
      <c r="M18" s="61" t="str">
        <f>LEFT(KysymyksetTaulukko[[#This Row],[Alakategoria_]],2)</f>
        <v>2.</v>
      </c>
      <c r="N18" s="107" t="s">
        <v>11</v>
      </c>
      <c r="O18" s="70" t="s">
        <v>206</v>
      </c>
      <c r="P18" s="67" t="str">
        <f>IF(AND(KysymyksetTaulukko[[#This Row],[Luokka]]="Extra",KysymyksetTaulukko[[#This Row],[Luokka + toimiala]]="Kuuluu"),"Extra","")</f>
        <v/>
      </c>
      <c r="Q18" s="114"/>
      <c r="R18" s="64" t="s">
        <v>27</v>
      </c>
      <c r="S18" s="159"/>
      <c r="T18" s="123">
        <f>IF(AND(KysymyksetTaulukko[[#This Row],[Luokka + toimiala]]="Kuuluu",KysymyksetTaulukko[[#This Row],[Vastaus]]="Kyllä"),1,0)</f>
        <v>0</v>
      </c>
      <c r="U18" s="121">
        <f>IF(AND(KysymyksetTaulukko[[#This Row],[Maksimipisteet]]=1,NOT(ISBLANK(KysymyksetTaulukko[[#This Row],[Vastaus]]))),1,0)</f>
        <v>0</v>
      </c>
      <c r="V18" s="123">
        <f>IF(OR(KysymyksetTaulukko[[#This Row],[Luokka + toimiala]]="Ei kuulu",KysymyksetTaulukko[[#This Row],[Vastaus]]="Ei koske",KysymyksetTaulukko[[#This Row],[Luokka]]="Extra",KysymyksetTaulukko[[#This Row],[Otsikkorivi]]="Kyllä"),0,1)</f>
        <v>0</v>
      </c>
    </row>
    <row r="19" spans="1:22" ht="30" x14ac:dyDescent="0.25">
      <c r="A19" s="9" t="s">
        <v>12</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10</v>
      </c>
      <c r="D19" s="3" t="str">
        <f>IF(ISNUMBER(SEARCH(LV!$I$5, Turvallinen_ja_toimintavarma!C19)), "K", "E")</f>
        <v>E</v>
      </c>
      <c r="E19" s="3" t="str">
        <f>IF(ISNUMBER(SEARCH(LV!$I$6, Turvallinen_ja_toimintavarma!$C19)), "K", "E")</f>
        <v>E</v>
      </c>
      <c r="F19" s="3" t="str">
        <f>IF(ISNUMBER(SEARCH(LV!$I$7, Turvallinen_ja_toimintavarma!$C19)), "K", "E")</f>
        <v>E</v>
      </c>
      <c r="G19" s="3" t="str">
        <f>IF(ISNUMBER(SEARCH(LV!$I$8, Turvallinen_ja_toimintavarma!$C19)), "K", "E")</f>
        <v>E</v>
      </c>
      <c r="H19" s="3" t="str">
        <f>IF(OR(KysymyksetTaulukko[[#This Row],[Toimiala A]]="K",KysymyksetTaulukko[[#This Row],[Toimiala B]]="K",KysymyksetTaulukko[[#This Row],[Toimiala C]]="K",KysymyksetTaulukko[[#This Row],[Toimiala D]]="K"),"Kuuluu","Ei kuulu")</f>
        <v>Ei kuulu</v>
      </c>
      <c r="I19" s="3" t="str">
        <f>IF(OR(KysymyksetTaulukko[[#This Row],[Luokka]]="Ei kuulu",KysymyksetTaulukko[[#This Row],[Toimiala-
kysymys]]="Ei kuulu"), "Ei kuulu", "Kuuluu")</f>
        <v>Ei kuulu</v>
      </c>
      <c r="J19" s="3" t="str">
        <f>IF(KysymyksetTaulukko[[#This Row],[Luokka + toimiala]]="Kuuluu","a) Oman vesilaitoksen kysymykset","b) Muut kysymykset")</f>
        <v>b) Muut kysymykset</v>
      </c>
      <c r="K19" s="125" t="s">
        <v>7</v>
      </c>
      <c r="L19" s="9" t="s">
        <v>26</v>
      </c>
      <c r="M19" s="61" t="str">
        <f>LEFT(KysymyksetTaulukko[[#This Row],[Alakategoria_]],2)</f>
        <v>2.</v>
      </c>
      <c r="N19" s="110" t="s">
        <v>11</v>
      </c>
      <c r="O19" s="70" t="s">
        <v>206</v>
      </c>
      <c r="P19" s="67" t="str">
        <f>IF(AND(KysymyksetTaulukko[[#This Row],[Luokka]]="Extra",KysymyksetTaulukko[[#This Row],[Luokka + toimiala]]="Kuuluu"),"Extra","")</f>
        <v/>
      </c>
      <c r="Q19" s="114"/>
      <c r="R19" s="64" t="s">
        <v>29</v>
      </c>
      <c r="S19" s="159"/>
      <c r="T19" s="123">
        <f>IF(AND(KysymyksetTaulukko[[#This Row],[Luokka + toimiala]]="Kuuluu",KysymyksetTaulukko[[#This Row],[Vastaus]]="Kyllä"),1,0)</f>
        <v>0</v>
      </c>
      <c r="U19" s="121">
        <f>IF(AND(KysymyksetTaulukko[[#This Row],[Maksimipisteet]]=1,NOT(ISBLANK(KysymyksetTaulukko[[#This Row],[Vastaus]]))),1,0)</f>
        <v>0</v>
      </c>
      <c r="V19" s="123">
        <f>IF(OR(KysymyksetTaulukko[[#This Row],[Luokka + toimiala]]="Ei kuulu",KysymyksetTaulukko[[#This Row],[Vastaus]]="Ei koske",KysymyksetTaulukko[[#This Row],[Luokka]]="Extra",KysymyksetTaulukko[[#This Row],[Otsikkorivi]]="Kyllä"),0,1)</f>
        <v>0</v>
      </c>
    </row>
    <row r="20" spans="1:22" ht="30" x14ac:dyDescent="0.25">
      <c r="A20" s="9" t="s">
        <v>12</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31</v>
      </c>
      <c r="D20" s="3" t="str">
        <f>IF(ISNUMBER(SEARCH(LV!$I$5, Turvallinen_ja_toimintavarma!C20)), "K", "E")</f>
        <v>E</v>
      </c>
      <c r="E20" s="3" t="str">
        <f>IF(ISNUMBER(SEARCH(LV!$I$6, Turvallinen_ja_toimintavarma!$C20)), "K", "E")</f>
        <v>E</v>
      </c>
      <c r="F20" s="3" t="str">
        <f>IF(ISNUMBER(SEARCH(LV!$I$7, Turvallinen_ja_toimintavarma!$C20)), "K", "E")</f>
        <v>E</v>
      </c>
      <c r="G20" s="3" t="str">
        <f>IF(ISNUMBER(SEARCH(LV!$I$8, Turvallinen_ja_toimintavarma!$C20)), "K", "E")</f>
        <v>E</v>
      </c>
      <c r="H20" s="3" t="str">
        <f>IF(OR(KysymyksetTaulukko[[#This Row],[Toimiala A]]="K",KysymyksetTaulukko[[#This Row],[Toimiala B]]="K",KysymyksetTaulukko[[#This Row],[Toimiala C]]="K",KysymyksetTaulukko[[#This Row],[Toimiala D]]="K"),"Kuuluu","Ei kuulu")</f>
        <v>Ei kuulu</v>
      </c>
      <c r="I20" s="3" t="str">
        <f>IF(OR(KysymyksetTaulukko[[#This Row],[Luokka]]="Ei kuulu",KysymyksetTaulukko[[#This Row],[Toimiala-
kysymys]]="Ei kuulu"), "Ei kuulu", "Kuuluu")</f>
        <v>Ei kuulu</v>
      </c>
      <c r="J20" s="3" t="str">
        <f>IF(KysymyksetTaulukko[[#This Row],[Luokka + toimiala]]="Kuuluu","a) Oman vesilaitoksen kysymykset","b) Muut kysymykset")</f>
        <v>b) Muut kysymykset</v>
      </c>
      <c r="K20" s="125" t="s">
        <v>7</v>
      </c>
      <c r="L20" s="9" t="s">
        <v>26</v>
      </c>
      <c r="M20" s="61" t="str">
        <f>LEFT(KysymyksetTaulukko[[#This Row],[Alakategoria_]],2)</f>
        <v>2.</v>
      </c>
      <c r="N20" s="110" t="s">
        <v>11</v>
      </c>
      <c r="O20" s="70" t="s">
        <v>206</v>
      </c>
      <c r="P20" s="67" t="str">
        <f>IF(AND(KysymyksetTaulukko[[#This Row],[Luokka]]="Extra",KysymyksetTaulukko[[#This Row],[Luokka + toimiala]]="Kuuluu"),"Extra","")</f>
        <v/>
      </c>
      <c r="Q20" s="114"/>
      <c r="R20" s="64" t="s">
        <v>30</v>
      </c>
      <c r="S20" s="159"/>
      <c r="T20" s="123">
        <f>IF(AND(KysymyksetTaulukko[[#This Row],[Luokka + toimiala]]="Kuuluu",KysymyksetTaulukko[[#This Row],[Vastaus]]="Kyllä"),1,0)</f>
        <v>0</v>
      </c>
      <c r="U20" s="121">
        <f>IF(AND(KysymyksetTaulukko[[#This Row],[Maksimipisteet]]=1,NOT(ISBLANK(KysymyksetTaulukko[[#This Row],[Vastaus]]))),1,0)</f>
        <v>0</v>
      </c>
      <c r="V20" s="123">
        <f>IF(OR(KysymyksetTaulukko[[#This Row],[Luokka + toimiala]]="Ei kuulu",KysymyksetTaulukko[[#This Row],[Vastaus]]="Ei koske",KysymyksetTaulukko[[#This Row],[Luokka]]="Extra",KysymyksetTaulukko[[#This Row],[Otsikkorivi]]="Kyllä"),0,1)</f>
        <v>0</v>
      </c>
    </row>
    <row r="21" spans="1:22" ht="30" x14ac:dyDescent="0.25">
      <c r="A21" s="9" t="s">
        <v>12</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28</v>
      </c>
      <c r="D21" s="3" t="str">
        <f>IF(ISNUMBER(SEARCH(LV!$I$5, Turvallinen_ja_toimintavarma!C21)), "K", "E")</f>
        <v>E</v>
      </c>
      <c r="E21" s="3" t="str">
        <f>IF(ISNUMBER(SEARCH(LV!$I$6, Turvallinen_ja_toimintavarma!$C21)), "K", "E")</f>
        <v>E</v>
      </c>
      <c r="F21" s="3" t="str">
        <f>IF(ISNUMBER(SEARCH(LV!$I$7, Turvallinen_ja_toimintavarma!$C21)), "K", "E")</f>
        <v>E</v>
      </c>
      <c r="G21" s="3" t="str">
        <f>IF(ISNUMBER(SEARCH(LV!$I$8, Turvallinen_ja_toimintavarma!$C21)), "K", "E")</f>
        <v>E</v>
      </c>
      <c r="H21" s="3" t="str">
        <f>IF(OR(KysymyksetTaulukko[[#This Row],[Toimiala A]]="K",KysymyksetTaulukko[[#This Row],[Toimiala B]]="K",KysymyksetTaulukko[[#This Row],[Toimiala C]]="K",KysymyksetTaulukko[[#This Row],[Toimiala D]]="K"),"Kuuluu","Ei kuulu")</f>
        <v>Ei kuulu</v>
      </c>
      <c r="I21" s="3" t="str">
        <f>IF(OR(KysymyksetTaulukko[[#This Row],[Luokka]]="Ei kuulu",KysymyksetTaulukko[[#This Row],[Toimiala-
kysymys]]="Ei kuulu"), "Ei kuulu", "Kuuluu")</f>
        <v>Ei kuulu</v>
      </c>
      <c r="J21" s="3" t="str">
        <f>IF(KysymyksetTaulukko[[#This Row],[Luokka + toimiala]]="Kuuluu","a) Oman vesilaitoksen kysymykset","b) Muut kysymykset")</f>
        <v>b) Muut kysymykset</v>
      </c>
      <c r="K21" s="125" t="s">
        <v>7</v>
      </c>
      <c r="L21" s="9" t="s">
        <v>26</v>
      </c>
      <c r="M21" s="61" t="str">
        <f>LEFT(KysymyksetTaulukko[[#This Row],[Alakategoria_]],2)</f>
        <v>2.</v>
      </c>
      <c r="N21" s="110" t="s">
        <v>11</v>
      </c>
      <c r="O21" s="70" t="s">
        <v>206</v>
      </c>
      <c r="P21" s="67" t="str">
        <f>IF(AND(KysymyksetTaulukko[[#This Row],[Luokka]]="Extra",KysymyksetTaulukko[[#This Row],[Luokka + toimiala]]="Kuuluu"),"Extra","")</f>
        <v/>
      </c>
      <c r="Q21" s="114"/>
      <c r="R21" s="64" t="s">
        <v>32</v>
      </c>
      <c r="S21" s="159"/>
      <c r="T21" s="123">
        <f>IF(AND(KysymyksetTaulukko[[#This Row],[Luokka + toimiala]]="Kuuluu",KysymyksetTaulukko[[#This Row],[Vastaus]]="Kyllä"),1,0)</f>
        <v>0</v>
      </c>
      <c r="U21" s="121">
        <f>IF(AND(KysymyksetTaulukko[[#This Row],[Maksimipisteet]]=1,NOT(ISBLANK(KysymyksetTaulukko[[#This Row],[Vastaus]]))),1,0)</f>
        <v>0</v>
      </c>
      <c r="V21" s="123">
        <f>IF(OR(KysymyksetTaulukko[[#This Row],[Luokka + toimiala]]="Ei kuulu",KysymyksetTaulukko[[#This Row],[Vastaus]]="Ei koske",KysymyksetTaulukko[[#This Row],[Luokka]]="Extra",KysymyksetTaulukko[[#This Row],[Otsikkorivi]]="Kyllä"),0,1)</f>
        <v>0</v>
      </c>
    </row>
    <row r="22" spans="1:22" ht="30" x14ac:dyDescent="0.25">
      <c r="A22" s="9" t="s">
        <v>12</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Turvallinen_ja_toimintavarma!C22)), "K", "E")</f>
        <v>E</v>
      </c>
      <c r="E22" s="3" t="str">
        <f>IF(ISNUMBER(SEARCH(LV!$I$6, Turvallinen_ja_toimintavarma!$C22)), "K", "E")</f>
        <v>E</v>
      </c>
      <c r="F22" s="3" t="str">
        <f>IF(ISNUMBER(SEARCH(LV!$I$7, Turvallinen_ja_toimintavarma!$C22)), "K", "E")</f>
        <v>E</v>
      </c>
      <c r="G22" s="3" t="str">
        <f>IF(ISNUMBER(SEARCH(LV!$I$8, Turvallinen_ja_toimintavarma!$C22)), "K", "E")</f>
        <v>E</v>
      </c>
      <c r="H22" s="3" t="str">
        <f>IF(OR(KysymyksetTaulukko[[#This Row],[Toimiala A]]="K",KysymyksetTaulukko[[#This Row],[Toimiala B]]="K",KysymyksetTaulukko[[#This Row],[Toimiala C]]="K",KysymyksetTaulukko[[#This Row],[Toimiala D]]="K"),"Kuuluu","Ei kuulu")</f>
        <v>Ei kuulu</v>
      </c>
      <c r="I22" s="3" t="str">
        <f>IF(OR(KysymyksetTaulukko[[#This Row],[Luokka]]="Ei kuulu",KysymyksetTaulukko[[#This Row],[Toimiala-
kysymys]]="Ei kuulu"), "Ei kuulu", "Kuuluu")</f>
        <v>Ei kuulu</v>
      </c>
      <c r="J22" s="3" t="str">
        <f>IF(KysymyksetTaulukko[[#This Row],[Luokka + toimiala]]="Kuuluu","a) Oman vesilaitoksen kysymykset","b) Muut kysymykset")</f>
        <v>b) Muut kysymykset</v>
      </c>
      <c r="K22" s="125" t="s">
        <v>7</v>
      </c>
      <c r="L22" s="9" t="s">
        <v>26</v>
      </c>
      <c r="M22" s="61" t="str">
        <f>LEFT(KysymyksetTaulukko[[#This Row],[Alakategoria_]],2)</f>
        <v>2.</v>
      </c>
      <c r="N22" s="110" t="s">
        <v>11</v>
      </c>
      <c r="O22" s="70" t="s">
        <v>206</v>
      </c>
      <c r="P22" s="67" t="str">
        <f>IF(AND(KysymyksetTaulukko[[#This Row],[Luokka]]="Extra",KysymyksetTaulukko[[#This Row],[Luokka + toimiala]]="Kuuluu"),"Extra","")</f>
        <v/>
      </c>
      <c r="Q22" s="114"/>
      <c r="R22" s="64" t="s">
        <v>33</v>
      </c>
      <c r="S22" s="159"/>
      <c r="T22" s="123">
        <f>IF(AND(KysymyksetTaulukko[[#This Row],[Luokka + toimiala]]="Kuuluu",KysymyksetTaulukko[[#This Row],[Vastaus]]="Kyllä"),1,0)</f>
        <v>0</v>
      </c>
      <c r="U22" s="121">
        <f>IF(AND(KysymyksetTaulukko[[#This Row],[Maksimipisteet]]=1,NOT(ISBLANK(KysymyksetTaulukko[[#This Row],[Vastaus]]))),1,0)</f>
        <v>0</v>
      </c>
      <c r="V22" s="123">
        <f>IF(OR(KysymyksetTaulukko[[#This Row],[Luokka + toimiala]]="Ei kuulu",KysymyksetTaulukko[[#This Row],[Vastaus]]="Ei koske",KysymyksetTaulukko[[#This Row],[Luokka]]="Extra",KysymyksetTaulukko[[#This Row],[Otsikkorivi]]="Kyllä"),0,1)</f>
        <v>0</v>
      </c>
    </row>
    <row r="23" spans="1:22" ht="30" x14ac:dyDescent="0.25">
      <c r="A23" s="9" t="s">
        <v>12</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10</v>
      </c>
      <c r="D23" s="3" t="str">
        <f>IF(ISNUMBER(SEARCH(LV!$I$5, Turvallinen_ja_toimintavarma!C23)), "K", "E")</f>
        <v>E</v>
      </c>
      <c r="E23" s="3" t="str">
        <f>IF(ISNUMBER(SEARCH(LV!$I$6, Turvallinen_ja_toimintavarma!$C23)), "K", "E")</f>
        <v>E</v>
      </c>
      <c r="F23" s="3" t="str">
        <f>IF(ISNUMBER(SEARCH(LV!$I$7, Turvallinen_ja_toimintavarma!$C23)), "K", "E")</f>
        <v>E</v>
      </c>
      <c r="G23" s="3" t="str">
        <f>IF(ISNUMBER(SEARCH(LV!$I$8, Turvallinen_ja_toimintavarma!$C23)), "K", "E")</f>
        <v>E</v>
      </c>
      <c r="H23" s="3" t="str">
        <f>IF(OR(KysymyksetTaulukko[[#This Row],[Toimiala A]]="K",KysymyksetTaulukko[[#This Row],[Toimiala B]]="K",KysymyksetTaulukko[[#This Row],[Toimiala C]]="K",KysymyksetTaulukko[[#This Row],[Toimiala D]]="K"),"Kuuluu","Ei kuulu")</f>
        <v>Ei kuulu</v>
      </c>
      <c r="I23" s="3" t="str">
        <f>IF(OR(KysymyksetTaulukko[[#This Row],[Luokka]]="Ei kuulu",KysymyksetTaulukko[[#This Row],[Toimiala-
kysymys]]="Ei kuulu"), "Ei kuulu", "Kuuluu")</f>
        <v>Ei kuulu</v>
      </c>
      <c r="J23" s="3" t="str">
        <f>IF(KysymyksetTaulukko[[#This Row],[Luokka + toimiala]]="Kuuluu","a) Oman vesilaitoksen kysymykset","b) Muut kysymykset")</f>
        <v>b) Muut kysymykset</v>
      </c>
      <c r="K23" s="125" t="s">
        <v>7</v>
      </c>
      <c r="L23" s="9" t="s">
        <v>26</v>
      </c>
      <c r="M23" s="61" t="str">
        <f>LEFT(KysymyksetTaulukko[[#This Row],[Alakategoria_]],2)</f>
        <v>2.</v>
      </c>
      <c r="N23" s="110" t="s">
        <v>11</v>
      </c>
      <c r="O23" s="70" t="s">
        <v>206</v>
      </c>
      <c r="P23" s="67" t="str">
        <f>IF(AND(KysymyksetTaulukko[[#This Row],[Luokka]]="Extra",KysymyksetTaulukko[[#This Row],[Luokka + toimiala]]="Kuuluu"),"Extra","")</f>
        <v/>
      </c>
      <c r="Q23" s="114"/>
      <c r="R23" s="64" t="s">
        <v>34</v>
      </c>
      <c r="S23" s="159"/>
      <c r="T23" s="123">
        <f>IF(AND(KysymyksetTaulukko[[#This Row],[Luokka + toimiala]]="Kuuluu",KysymyksetTaulukko[[#This Row],[Vastaus]]="Kyllä"),1,0)</f>
        <v>0</v>
      </c>
      <c r="U23" s="121">
        <f>IF(AND(KysymyksetTaulukko[[#This Row],[Maksimipisteet]]=1,NOT(ISBLANK(KysymyksetTaulukko[[#This Row],[Vastaus]]))),1,0)</f>
        <v>0</v>
      </c>
      <c r="V23" s="123">
        <f>IF(OR(KysymyksetTaulukko[[#This Row],[Luokka + toimiala]]="Ei kuulu",KysymyksetTaulukko[[#This Row],[Vastaus]]="Ei koske",KysymyksetTaulukko[[#This Row],[Luokka]]="Extra",KysymyksetTaulukko[[#This Row],[Otsikkorivi]]="Kyllä"),0,1)</f>
        <v>0</v>
      </c>
    </row>
    <row r="24" spans="1:22" ht="28.5" x14ac:dyDescent="0.25">
      <c r="A24" s="9" t="s">
        <v>12</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Turvallinen_ja_toimintavarma!C24)), "K", "E")</f>
        <v>E</v>
      </c>
      <c r="E24" s="3" t="str">
        <f>IF(ISNUMBER(SEARCH(LV!$I$6, Turvallinen_ja_toimintavarma!$C24)), "K", "E")</f>
        <v>E</v>
      </c>
      <c r="F24" s="3" t="str">
        <f>IF(ISNUMBER(SEARCH(LV!$I$7, Turvallinen_ja_toimintavarma!$C24)), "K", "E")</f>
        <v>E</v>
      </c>
      <c r="G24" s="3" t="str">
        <f>IF(ISNUMBER(SEARCH(LV!$I$8, Turvallinen_ja_toimintavarma!$C24)), "K", "E")</f>
        <v>E</v>
      </c>
      <c r="H24" s="3" t="str">
        <f>IF(OR(KysymyksetTaulukko[[#This Row],[Toimiala A]]="K",KysymyksetTaulukko[[#This Row],[Toimiala B]]="K",KysymyksetTaulukko[[#This Row],[Toimiala C]]="K",KysymyksetTaulukko[[#This Row],[Toimiala D]]="K"),"Kuuluu","Ei kuulu")</f>
        <v>Ei kuulu</v>
      </c>
      <c r="I24" s="3" t="str">
        <f>IF(OR(KysymyksetTaulukko[[#This Row],[Luokka]]="Ei kuulu",KysymyksetTaulukko[[#This Row],[Toimiala-
kysymys]]="Ei kuulu"), "Ei kuulu", "Kuuluu")</f>
        <v>Ei kuulu</v>
      </c>
      <c r="J24" s="3" t="str">
        <f>IF(KysymyksetTaulukko[[#This Row],[Luokka + toimiala]]="Kuuluu","a) Oman vesilaitoksen kysymykset","b) Muut kysymykset")</f>
        <v>b) Muut kysymykset</v>
      </c>
      <c r="K24" s="125" t="s">
        <v>7</v>
      </c>
      <c r="L24" s="9" t="s">
        <v>26</v>
      </c>
      <c r="M24" s="61" t="str">
        <f>LEFT(KysymyksetTaulukko[[#This Row],[Alakategoria_]],2)</f>
        <v>2.</v>
      </c>
      <c r="N24" s="110" t="s">
        <v>11</v>
      </c>
      <c r="O24" s="70" t="s">
        <v>206</v>
      </c>
      <c r="P24" s="67" t="str">
        <f>IF(AND(KysymyksetTaulukko[[#This Row],[Luokka]]="Extra",KysymyksetTaulukko[[#This Row],[Luokka + toimiala]]="Kuuluu"),"Extra","")</f>
        <v/>
      </c>
      <c r="Q24" s="114"/>
      <c r="R24" s="64" t="s">
        <v>35</v>
      </c>
      <c r="S24" s="159"/>
      <c r="T24" s="123">
        <f>IF(AND(KysymyksetTaulukko[[#This Row],[Luokka + toimiala]]="Kuuluu",KysymyksetTaulukko[[#This Row],[Vastaus]]="Kyllä"),1,0)</f>
        <v>0</v>
      </c>
      <c r="U24" s="121">
        <f>IF(AND(KysymyksetTaulukko[[#This Row],[Maksimipisteet]]=1,NOT(ISBLANK(KysymyksetTaulukko[[#This Row],[Vastaus]]))),1,0)</f>
        <v>0</v>
      </c>
      <c r="V24" s="123">
        <f>IF(OR(KysymyksetTaulukko[[#This Row],[Luokka + toimiala]]="Ei kuulu",KysymyksetTaulukko[[#This Row],[Vastaus]]="Ei koske",KysymyksetTaulukko[[#This Row],[Luokka]]="Extra",KysymyksetTaulukko[[#This Row],[Otsikkorivi]]="Kyllä"),0,1)</f>
        <v>0</v>
      </c>
    </row>
    <row r="25" spans="1:22" ht="30" x14ac:dyDescent="0.25">
      <c r="A25" s="9" t="s">
        <v>12</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Turvallinen_ja_toimintavarma!C25)), "K", "E")</f>
        <v>E</v>
      </c>
      <c r="E25" s="3" t="str">
        <f>IF(ISNUMBER(SEARCH(LV!$I$6, Turvallinen_ja_toimintavarma!$C25)), "K", "E")</f>
        <v>E</v>
      </c>
      <c r="F25" s="3" t="str">
        <f>IF(ISNUMBER(SEARCH(LV!$I$7, Turvallinen_ja_toimintavarma!$C25)), "K", "E")</f>
        <v>E</v>
      </c>
      <c r="G25" s="3" t="str">
        <f>IF(ISNUMBER(SEARCH(LV!$I$8, Turvallinen_ja_toimintavarma!$C25)), "K", "E")</f>
        <v>E</v>
      </c>
      <c r="H25" s="3" t="str">
        <f>IF(OR(KysymyksetTaulukko[[#This Row],[Toimiala A]]="K",KysymyksetTaulukko[[#This Row],[Toimiala B]]="K",KysymyksetTaulukko[[#This Row],[Toimiala C]]="K",KysymyksetTaulukko[[#This Row],[Toimiala D]]="K"),"Kuuluu","Ei kuulu")</f>
        <v>Ei kuulu</v>
      </c>
      <c r="I25" s="3" t="str">
        <f>IF(OR(KysymyksetTaulukko[[#This Row],[Luokka]]="Ei kuulu",KysymyksetTaulukko[[#This Row],[Toimiala-
kysymys]]="Ei kuulu"), "Ei kuulu", "Kuuluu")</f>
        <v>Ei kuulu</v>
      </c>
      <c r="J25" s="3" t="str">
        <f>IF(KysymyksetTaulukko[[#This Row],[Luokka + toimiala]]="Kuuluu","a) Oman vesilaitoksen kysymykset","b) Muut kysymykset")</f>
        <v>b) Muut kysymykset</v>
      </c>
      <c r="K25" s="125" t="s">
        <v>7</v>
      </c>
      <c r="L25" s="9" t="s">
        <v>26</v>
      </c>
      <c r="M25" s="61" t="str">
        <f>LEFT(KysymyksetTaulukko[[#This Row],[Alakategoria_]],2)</f>
        <v>2.</v>
      </c>
      <c r="N25" s="110" t="s">
        <v>11</v>
      </c>
      <c r="O25" s="70" t="s">
        <v>206</v>
      </c>
      <c r="P25" s="67" t="str">
        <f>IF(AND(KysymyksetTaulukko[[#This Row],[Luokka]]="Extra",KysymyksetTaulukko[[#This Row],[Luokka + toimiala]]="Kuuluu"),"Extra","")</f>
        <v/>
      </c>
      <c r="Q25" s="114"/>
      <c r="R25" s="64" t="s">
        <v>36</v>
      </c>
      <c r="S25" s="159"/>
      <c r="T25" s="123">
        <f>IF(AND(KysymyksetTaulukko[[#This Row],[Luokka + toimiala]]="Kuuluu",KysymyksetTaulukko[[#This Row],[Vastaus]]="Kyllä"),1,0)</f>
        <v>0</v>
      </c>
      <c r="U25" s="121">
        <f>IF(AND(KysymyksetTaulukko[[#This Row],[Maksimipisteet]]=1,NOT(ISBLANK(KysymyksetTaulukko[[#This Row],[Vastaus]]))),1,0)</f>
        <v>0</v>
      </c>
      <c r="V25" s="123">
        <f>IF(OR(KysymyksetTaulukko[[#This Row],[Luokka + toimiala]]="Ei kuulu",KysymyksetTaulukko[[#This Row],[Vastaus]]="Ei koske",KysymyksetTaulukko[[#This Row],[Luokka]]="Extra",KysymyksetTaulukko[[#This Row],[Otsikkorivi]]="Kyllä"),0,1)</f>
        <v>0</v>
      </c>
    </row>
    <row r="26" spans="1:22" ht="28.5" x14ac:dyDescent="0.25">
      <c r="A26" s="9" t="s">
        <v>12</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Turvallinen_ja_toimintavarma!C26)), "K", "E")</f>
        <v>E</v>
      </c>
      <c r="E26" s="3" t="str">
        <f>IF(ISNUMBER(SEARCH(LV!$I$6, Turvallinen_ja_toimintavarma!$C26)), "K", "E")</f>
        <v>E</v>
      </c>
      <c r="F26" s="3" t="str">
        <f>IF(ISNUMBER(SEARCH(LV!$I$7, Turvallinen_ja_toimintavarma!$C26)), "K", "E")</f>
        <v>E</v>
      </c>
      <c r="G26" s="3" t="str">
        <f>IF(ISNUMBER(SEARCH(LV!$I$8, Turvallinen_ja_toimintavarma!$C26)), "K", "E")</f>
        <v>E</v>
      </c>
      <c r="H26" s="3" t="str">
        <f>IF(OR(KysymyksetTaulukko[[#This Row],[Toimiala A]]="K",KysymyksetTaulukko[[#This Row],[Toimiala B]]="K",KysymyksetTaulukko[[#This Row],[Toimiala C]]="K",KysymyksetTaulukko[[#This Row],[Toimiala D]]="K"),"Kuuluu","Ei kuulu")</f>
        <v>Ei kuulu</v>
      </c>
      <c r="I26" s="3" t="str">
        <f>IF(OR(KysymyksetTaulukko[[#This Row],[Luokka]]="Ei kuulu",KysymyksetTaulukko[[#This Row],[Toimiala-
kysymys]]="Ei kuulu"), "Ei kuulu", "Kuuluu")</f>
        <v>Ei kuulu</v>
      </c>
      <c r="J26" s="3" t="str">
        <f>IF(KysymyksetTaulukko[[#This Row],[Luokka + toimiala]]="Kuuluu","a) Oman vesilaitoksen kysymykset","b) Muut kysymykset")</f>
        <v>b) Muut kysymykset</v>
      </c>
      <c r="K26" s="125" t="s">
        <v>7</v>
      </c>
      <c r="L26" s="9" t="s">
        <v>26</v>
      </c>
      <c r="M26" s="61" t="str">
        <f>LEFT(KysymyksetTaulukko[[#This Row],[Alakategoria_]],2)</f>
        <v>2.</v>
      </c>
      <c r="N26" s="110" t="s">
        <v>11</v>
      </c>
      <c r="O26" s="70" t="s">
        <v>206</v>
      </c>
      <c r="P26" s="67" t="str">
        <f>IF(AND(KysymyksetTaulukko[[#This Row],[Luokka]]="Extra",KysymyksetTaulukko[[#This Row],[Luokka + toimiala]]="Kuuluu"),"Extra","")</f>
        <v/>
      </c>
      <c r="Q26" s="114"/>
      <c r="R26" s="64" t="s">
        <v>37</v>
      </c>
      <c r="S26" s="159"/>
      <c r="T26" s="123">
        <f>IF(AND(KysymyksetTaulukko[[#This Row],[Luokka + toimiala]]="Kuuluu",KysymyksetTaulukko[[#This Row],[Vastaus]]="Kyllä"),1,0)</f>
        <v>0</v>
      </c>
      <c r="U26" s="121">
        <f>IF(AND(KysymyksetTaulukko[[#This Row],[Maksimipisteet]]=1,NOT(ISBLANK(KysymyksetTaulukko[[#This Row],[Vastaus]]))),1,0)</f>
        <v>0</v>
      </c>
      <c r="V26" s="123">
        <f>IF(OR(KysymyksetTaulukko[[#This Row],[Luokka + toimiala]]="Ei kuulu",KysymyksetTaulukko[[#This Row],[Vastaus]]="Ei koske",KysymyksetTaulukko[[#This Row],[Luokka]]="Extra",KysymyksetTaulukko[[#This Row],[Otsikkorivi]]="Kyllä"),0,1)</f>
        <v>0</v>
      </c>
    </row>
    <row r="27" spans="1:22" ht="30" x14ac:dyDescent="0.25">
      <c r="A27" s="9" t="s">
        <v>12</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Turvallinen_ja_toimintavarma!C27)), "K", "E")</f>
        <v>E</v>
      </c>
      <c r="E27" s="3" t="str">
        <f>IF(ISNUMBER(SEARCH(LV!$I$6, Turvallinen_ja_toimintavarma!$C27)), "K", "E")</f>
        <v>E</v>
      </c>
      <c r="F27" s="3" t="str">
        <f>IF(ISNUMBER(SEARCH(LV!$I$7, Turvallinen_ja_toimintavarma!$C27)), "K", "E")</f>
        <v>E</v>
      </c>
      <c r="G27" s="3" t="str">
        <f>IF(ISNUMBER(SEARCH(LV!$I$8, Turvallinen_ja_toimintavarma!$C27)), "K", "E")</f>
        <v>E</v>
      </c>
      <c r="H27" s="3" t="str">
        <f>IF(OR(KysymyksetTaulukko[[#This Row],[Toimiala A]]="K",KysymyksetTaulukko[[#This Row],[Toimiala B]]="K",KysymyksetTaulukko[[#This Row],[Toimiala C]]="K",KysymyksetTaulukko[[#This Row],[Toimiala D]]="K"),"Kuuluu","Ei kuulu")</f>
        <v>Ei kuulu</v>
      </c>
      <c r="I27" s="3" t="str">
        <f>IF(OR(KysymyksetTaulukko[[#This Row],[Luokka]]="Ei kuulu",KysymyksetTaulukko[[#This Row],[Toimiala-
kysymys]]="Ei kuulu"), "Ei kuulu", "Kuuluu")</f>
        <v>Ei kuulu</v>
      </c>
      <c r="J27" s="3" t="str">
        <f>IF(KysymyksetTaulukko[[#This Row],[Luokka + toimiala]]="Kuuluu","a) Oman vesilaitoksen kysymykset","b) Muut kysymykset")</f>
        <v>b) Muut kysymykset</v>
      </c>
      <c r="K27" s="125" t="s">
        <v>7</v>
      </c>
      <c r="L27" s="9" t="s">
        <v>26</v>
      </c>
      <c r="M27" s="61" t="str">
        <f>LEFT(KysymyksetTaulukko[[#This Row],[Alakategoria_]],2)</f>
        <v>2.</v>
      </c>
      <c r="N27" s="110" t="s">
        <v>11</v>
      </c>
      <c r="O27" s="70" t="s">
        <v>206</v>
      </c>
      <c r="P27" s="67" t="str">
        <f>IF(AND(KysymyksetTaulukko[[#This Row],[Luokka]]="Extra",KysymyksetTaulukko[[#This Row],[Luokka + toimiala]]="Kuuluu"),"Extra","")</f>
        <v/>
      </c>
      <c r="Q27" s="114"/>
      <c r="R27" s="64" t="s">
        <v>38</v>
      </c>
      <c r="S27" s="159"/>
      <c r="T27" s="123">
        <f>IF(AND(KysymyksetTaulukko[[#This Row],[Luokka + toimiala]]="Kuuluu",KysymyksetTaulukko[[#This Row],[Vastaus]]="Kyllä"),1,0)</f>
        <v>0</v>
      </c>
      <c r="U27" s="121">
        <f>IF(AND(KysymyksetTaulukko[[#This Row],[Maksimipisteet]]=1,NOT(ISBLANK(KysymyksetTaulukko[[#This Row],[Vastaus]]))),1,0)</f>
        <v>0</v>
      </c>
      <c r="V27" s="123">
        <f>IF(OR(KysymyksetTaulukko[[#This Row],[Luokka + toimiala]]="Ei kuulu",KysymyksetTaulukko[[#This Row],[Vastaus]]="Ei koske",KysymyksetTaulukko[[#This Row],[Luokka]]="Extra",KysymyksetTaulukko[[#This Row],[Otsikkorivi]]="Kyllä"),0,1)</f>
        <v>0</v>
      </c>
    </row>
    <row r="28" spans="1:22" ht="30" x14ac:dyDescent="0.25">
      <c r="A28" s="9">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10</v>
      </c>
      <c r="D28" s="3" t="str">
        <f>IF(ISNUMBER(SEARCH(LV!$I$5, Turvallinen_ja_toimintavarma!C28)), "K", "E")</f>
        <v>E</v>
      </c>
      <c r="E28" s="3" t="str">
        <f>IF(ISNUMBER(SEARCH(LV!$I$6, Turvallinen_ja_toimintavarma!$C28)), "K", "E")</f>
        <v>E</v>
      </c>
      <c r="F28" s="3" t="str">
        <f>IF(ISNUMBER(SEARCH(LV!$I$7, Turvallinen_ja_toimintavarma!$C28)), "K", "E")</f>
        <v>E</v>
      </c>
      <c r="G28" s="3" t="str">
        <f>IF(ISNUMBER(SEARCH(LV!$I$8, Turvallinen_ja_toimintavarma!$C28)), "K", "E")</f>
        <v>E</v>
      </c>
      <c r="H28" s="3" t="str">
        <f>IF(OR(KysymyksetTaulukko[[#This Row],[Toimiala A]]="K",KysymyksetTaulukko[[#This Row],[Toimiala B]]="K",KysymyksetTaulukko[[#This Row],[Toimiala C]]="K",KysymyksetTaulukko[[#This Row],[Toimiala D]]="K"),"Kuuluu","Ei kuulu")</f>
        <v>Ei kuulu</v>
      </c>
      <c r="I28" s="3" t="str">
        <f>IF(OR(KysymyksetTaulukko[[#This Row],[Luokka]]="Ei kuulu",KysymyksetTaulukko[[#This Row],[Toimiala-
kysymys]]="Ei kuulu"), "Ei kuulu", "Kuuluu")</f>
        <v>Ei kuulu</v>
      </c>
      <c r="J28" s="3" t="str">
        <f>IF(KysymyksetTaulukko[[#This Row],[Luokka + toimiala]]="Kuuluu","a) Oman vesilaitoksen kysymykset","b) Muut kysymykset")</f>
        <v>b) Muut kysymykset</v>
      </c>
      <c r="K28" s="125" t="s">
        <v>7</v>
      </c>
      <c r="L28" s="9" t="s">
        <v>26</v>
      </c>
      <c r="M28" s="61" t="str">
        <f>LEFT(KysymyksetTaulukko[[#This Row],[Alakategoria_]],2)</f>
        <v>2.</v>
      </c>
      <c r="N28" s="109"/>
      <c r="O28" s="70" t="s">
        <v>222</v>
      </c>
      <c r="P28" s="67" t="str">
        <f>IF(AND(KysymyksetTaulukko[[#This Row],[Luokka]]="Extra",KysymyksetTaulukko[[#This Row],[Luokka + toimiala]]="Kuuluu"),"Extra","")</f>
        <v/>
      </c>
      <c r="Q28" s="114"/>
      <c r="R28" s="64" t="s">
        <v>274</v>
      </c>
      <c r="S28" s="159"/>
      <c r="T28" s="123">
        <f>IF(AND(KysymyksetTaulukko[[#This Row],[Luokka + toimiala]]="Kuuluu",KysymyksetTaulukko[[#This Row],[Vastaus]]="Kyllä"),1,0)</f>
        <v>0</v>
      </c>
      <c r="U28" s="121">
        <f>IF(AND(KysymyksetTaulukko[[#This Row],[Maksimipisteet]]=1,NOT(ISBLANK(KysymyksetTaulukko[[#This Row],[Vastaus]]))),1,0)</f>
        <v>0</v>
      </c>
      <c r="V28" s="123">
        <f>IF(OR(KysymyksetTaulukko[[#This Row],[Luokka + toimiala]]="Ei kuulu",KysymyksetTaulukko[[#This Row],[Vastaus]]="Ei koske",KysymyksetTaulukko[[#This Row],[Luokka]]="Extra",KysymyksetTaulukko[[#This Row],[Otsikkorivi]]="Kyllä"),0,1)</f>
        <v>0</v>
      </c>
    </row>
    <row r="29" spans="1:22" ht="30" x14ac:dyDescent="0.25">
      <c r="A29" s="3" t="s">
        <v>40</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10</v>
      </c>
      <c r="D29" s="3" t="str">
        <f>IF(ISNUMBER(SEARCH(LV!$I$5, Turvallinen_ja_toimintavarma!C29)), "K", "E")</f>
        <v>E</v>
      </c>
      <c r="E29" s="3" t="str">
        <f>IF(ISNUMBER(SEARCH(LV!$I$6, Turvallinen_ja_toimintavarma!$C29)), "K", "E")</f>
        <v>E</v>
      </c>
      <c r="F29" s="3" t="str">
        <f>IF(ISNUMBER(SEARCH(LV!$I$7, Turvallinen_ja_toimintavarma!$C29)), "K", "E")</f>
        <v>E</v>
      </c>
      <c r="G29" s="3" t="str">
        <f>IF(ISNUMBER(SEARCH(LV!$I$8, Turvallinen_ja_toimintavarma!$C29)), "K", "E")</f>
        <v>E</v>
      </c>
      <c r="H29" s="3" t="str">
        <f>IF(OR(KysymyksetTaulukko[[#This Row],[Toimiala A]]="K",KysymyksetTaulukko[[#This Row],[Toimiala B]]="K",KysymyksetTaulukko[[#This Row],[Toimiala C]]="K",KysymyksetTaulukko[[#This Row],[Toimiala D]]="K"),"Kuuluu","Ei kuulu")</f>
        <v>Ei kuulu</v>
      </c>
      <c r="I29" s="3" t="str">
        <f>IF(OR(KysymyksetTaulukko[[#This Row],[Luokka]]="Ei kuulu",KysymyksetTaulukko[[#This Row],[Toimiala-
kysymys]]="Ei kuulu"), "Ei kuulu", "Kuuluu")</f>
        <v>Ei kuulu</v>
      </c>
      <c r="J29" s="3" t="str">
        <f>IF(KysymyksetTaulukko[[#This Row],[Luokka + toimiala]]="Kuuluu","a) Oman vesilaitoksen kysymykset","b) Muut kysymykset")</f>
        <v>b) Muut kysymykset</v>
      </c>
      <c r="K29" s="125" t="s">
        <v>7</v>
      </c>
      <c r="L29" s="9" t="s">
        <v>26</v>
      </c>
      <c r="M29" s="61" t="str">
        <f>LEFT(KysymyksetTaulukko[[#This Row],[Alakategoria_]],2)</f>
        <v>2.</v>
      </c>
      <c r="N29" s="109" t="s">
        <v>11</v>
      </c>
      <c r="O29" s="70" t="s">
        <v>206</v>
      </c>
      <c r="P29" s="67" t="str">
        <f>IF(AND(KysymyksetTaulukko[[#This Row],[Luokka]]="Extra",KysymyksetTaulukko[[#This Row],[Luokka + toimiala]]="Kuuluu"),"Extra","")</f>
        <v/>
      </c>
      <c r="Q29" s="114"/>
      <c r="R29" s="64" t="s">
        <v>275</v>
      </c>
      <c r="S29" s="159"/>
      <c r="T29" s="123">
        <f>IF(AND(KysymyksetTaulukko[[#This Row],[Luokka + toimiala]]="Kuuluu",KysymyksetTaulukko[[#This Row],[Vastaus]]="Kyllä"),1,0)</f>
        <v>0</v>
      </c>
      <c r="U29" s="121">
        <f>IF(AND(KysymyksetTaulukko[[#This Row],[Maksimipisteet]]=1,NOT(ISBLANK(KysymyksetTaulukko[[#This Row],[Vastaus]]))),1,0)</f>
        <v>0</v>
      </c>
      <c r="V29" s="123">
        <f>IF(OR(KysymyksetTaulukko[[#This Row],[Luokka + toimiala]]="Ei kuulu",KysymyksetTaulukko[[#This Row],[Vastaus]]="Ei koske",KysymyksetTaulukko[[#This Row],[Luokka]]="Extra",KysymyksetTaulukko[[#This Row],[Otsikkorivi]]="Kyllä"),0,1)</f>
        <v>0</v>
      </c>
    </row>
    <row r="30" spans="1:22" ht="60" x14ac:dyDescent="0.2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10</v>
      </c>
      <c r="D30" s="3" t="str">
        <f>IF(ISNUMBER(SEARCH(LV!$I$5, Turvallinen_ja_toimintavarma!C30)), "K", "E")</f>
        <v>E</v>
      </c>
      <c r="E30" s="3" t="str">
        <f>IF(ISNUMBER(SEARCH(LV!$I$6, Turvallinen_ja_toimintavarma!$C30)), "K", "E")</f>
        <v>E</v>
      </c>
      <c r="F30" s="3" t="str">
        <f>IF(ISNUMBER(SEARCH(LV!$I$7, Turvallinen_ja_toimintavarma!$C30)), "K", "E")</f>
        <v>E</v>
      </c>
      <c r="G30" s="3" t="str">
        <f>IF(ISNUMBER(SEARCH(LV!$I$8, Turvallinen_ja_toimintavarma!$C30)), "K", "E")</f>
        <v>E</v>
      </c>
      <c r="H30" s="3" t="str">
        <f>IF(OR(KysymyksetTaulukko[[#This Row],[Toimiala A]]="K",KysymyksetTaulukko[[#This Row],[Toimiala B]]="K",KysymyksetTaulukko[[#This Row],[Toimiala C]]="K",KysymyksetTaulukko[[#This Row],[Toimiala D]]="K"),"Kuuluu","Ei kuulu")</f>
        <v>Ei kuulu</v>
      </c>
      <c r="I30" s="3" t="str">
        <f>IF(OR(KysymyksetTaulukko[[#This Row],[Luokka]]="Ei kuulu",KysymyksetTaulukko[[#This Row],[Toimiala-
kysymys]]="Ei kuulu"), "Ei kuulu", "Kuuluu")</f>
        <v>Ei kuulu</v>
      </c>
      <c r="J30" s="3" t="str">
        <f>IF(KysymyksetTaulukko[[#This Row],[Luokka + toimiala]]="Kuuluu","a) Oman vesilaitoksen kysymykset","b) Muut kysymykset")</f>
        <v>b) Muut kysymykset</v>
      </c>
      <c r="K30" s="125" t="s">
        <v>7</v>
      </c>
      <c r="L30" s="9" t="s">
        <v>26</v>
      </c>
      <c r="M30" s="61" t="str">
        <f>LEFT(KysymyksetTaulukko[[#This Row],[Alakategoria_]],2)</f>
        <v>2.</v>
      </c>
      <c r="N30" s="110" t="s">
        <v>11</v>
      </c>
      <c r="O30" s="70" t="s">
        <v>206</v>
      </c>
      <c r="P30" s="67" t="str">
        <f>IF(AND(KysymyksetTaulukko[[#This Row],[Luokka]]="Extra",KysymyksetTaulukko[[#This Row],[Luokka + toimiala]]="Kuuluu"),"Extra","")</f>
        <v/>
      </c>
      <c r="Q30" s="114"/>
      <c r="R30" s="64" t="s">
        <v>42</v>
      </c>
      <c r="S30" s="159"/>
      <c r="T30" s="123">
        <f>IF(AND(KysymyksetTaulukko[[#This Row],[Luokka + toimiala]]="Kuuluu",KysymyksetTaulukko[[#This Row],[Vastaus]]="Kyllä"),1,0)</f>
        <v>0</v>
      </c>
      <c r="U30" s="121">
        <f>IF(AND(KysymyksetTaulukko[[#This Row],[Maksimipisteet]]=1,NOT(ISBLANK(KysymyksetTaulukko[[#This Row],[Vastaus]]))),1,0)</f>
        <v>0</v>
      </c>
      <c r="V30" s="123">
        <f>IF(OR(KysymyksetTaulukko[[#This Row],[Luokka + toimiala]]="Ei kuulu",KysymyksetTaulukko[[#This Row],[Vastaus]]="Ei koske",KysymyksetTaulukko[[#This Row],[Luokka]]="Extra",KysymyksetTaulukko[[#This Row],[Otsikkorivi]]="Kyllä"),0,1)</f>
        <v>0</v>
      </c>
    </row>
    <row r="31" spans="1:22" ht="45" x14ac:dyDescent="0.25">
      <c r="A31" s="3" t="s">
        <v>12</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44</v>
      </c>
      <c r="D31" s="3" t="str">
        <f>IF(ISNUMBER(SEARCH(LV!$I$5, Turvallinen_ja_toimintavarma!C31)), "K", "E")</f>
        <v>E</v>
      </c>
      <c r="E31" s="3" t="str">
        <f>IF(ISNUMBER(SEARCH(LV!$I$6, Turvallinen_ja_toimintavarma!$C31)), "K", "E")</f>
        <v>E</v>
      </c>
      <c r="F31" s="3" t="str">
        <f>IF(ISNUMBER(SEARCH(LV!$I$7, Turvallinen_ja_toimintavarma!$C31)), "K", "E")</f>
        <v>E</v>
      </c>
      <c r="G31" s="3" t="str">
        <f>IF(ISNUMBER(SEARCH(LV!$I$8, Turvallinen_ja_toimintavarma!$C31)), "K", "E")</f>
        <v>E</v>
      </c>
      <c r="H31" s="3" t="str">
        <f>IF(OR(KysymyksetTaulukko[[#This Row],[Toimiala A]]="K",KysymyksetTaulukko[[#This Row],[Toimiala B]]="K",KysymyksetTaulukko[[#This Row],[Toimiala C]]="K",KysymyksetTaulukko[[#This Row],[Toimiala D]]="K"),"Kuuluu","Ei kuulu")</f>
        <v>Ei kuulu</v>
      </c>
      <c r="I31" s="3" t="str">
        <f>IF(OR(KysymyksetTaulukko[[#This Row],[Luokka]]="Ei kuulu",KysymyksetTaulukko[[#This Row],[Toimiala-
kysymys]]="Ei kuulu"), "Ei kuulu", "Kuuluu")</f>
        <v>Ei kuulu</v>
      </c>
      <c r="J31" s="3" t="str">
        <f>IF(KysymyksetTaulukko[[#This Row],[Luokka + toimiala]]="Kuuluu","a) Oman vesilaitoksen kysymykset","b) Muut kysymykset")</f>
        <v>b) Muut kysymykset</v>
      </c>
      <c r="K31" s="125" t="s">
        <v>7</v>
      </c>
      <c r="L31" s="9" t="s">
        <v>26</v>
      </c>
      <c r="M31" s="61" t="str">
        <f>LEFT(KysymyksetTaulukko[[#This Row],[Alakategoria_]],2)</f>
        <v>2.</v>
      </c>
      <c r="N31" s="109" t="s">
        <v>11</v>
      </c>
      <c r="O31" s="70" t="s">
        <v>206</v>
      </c>
      <c r="P31" s="67" t="str">
        <f>IF(AND(KysymyksetTaulukko[[#This Row],[Luokka]]="Extra",KysymyksetTaulukko[[#This Row],[Luokka + toimiala]]="Kuuluu"),"Extra","")</f>
        <v/>
      </c>
      <c r="Q31" s="114"/>
      <c r="R31" s="64" t="s">
        <v>43</v>
      </c>
      <c r="S31" s="159"/>
      <c r="T31" s="123">
        <f>IF(AND(KysymyksetTaulukko[[#This Row],[Luokka + toimiala]]="Kuuluu",KysymyksetTaulukko[[#This Row],[Vastaus]]="Kyllä"),1,0)</f>
        <v>0</v>
      </c>
      <c r="U31" s="121">
        <f>IF(AND(KysymyksetTaulukko[[#This Row],[Maksimipisteet]]=1,NOT(ISBLANK(KysymyksetTaulukko[[#This Row],[Vastaus]]))),1,0)</f>
        <v>0</v>
      </c>
      <c r="V31" s="123">
        <f>IF(OR(KysymyksetTaulukko[[#This Row],[Luokka + toimiala]]="Ei kuulu",KysymyksetTaulukko[[#This Row],[Vastaus]]="Ei koske",KysymyksetTaulukko[[#This Row],[Luokka]]="Extra",KysymyksetTaulukko[[#This Row],[Otsikkorivi]]="Kyllä"),0,1)</f>
        <v>0</v>
      </c>
    </row>
    <row r="32" spans="1:22" ht="28.5" x14ac:dyDescent="0.25">
      <c r="A32" s="3" t="s">
        <v>12</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28</v>
      </c>
      <c r="D32" s="3" t="str">
        <f>IF(ISNUMBER(SEARCH(LV!$I$5, Turvallinen_ja_toimintavarma!C32)), "K", "E")</f>
        <v>E</v>
      </c>
      <c r="E32" s="3" t="str">
        <f>IF(ISNUMBER(SEARCH(LV!$I$6, Turvallinen_ja_toimintavarma!$C32)), "K", "E")</f>
        <v>E</v>
      </c>
      <c r="F32" s="3" t="str">
        <f>IF(ISNUMBER(SEARCH(LV!$I$7, Turvallinen_ja_toimintavarma!$C32)), "K", "E")</f>
        <v>E</v>
      </c>
      <c r="G32" s="3" t="str">
        <f>IF(ISNUMBER(SEARCH(LV!$I$8, Turvallinen_ja_toimintavarma!$C32)), "K", "E")</f>
        <v>E</v>
      </c>
      <c r="H32" s="3" t="str">
        <f>IF(OR(KysymyksetTaulukko[[#This Row],[Toimiala A]]="K",KysymyksetTaulukko[[#This Row],[Toimiala B]]="K",KysymyksetTaulukko[[#This Row],[Toimiala C]]="K",KysymyksetTaulukko[[#This Row],[Toimiala D]]="K"),"Kuuluu","Ei kuulu")</f>
        <v>Ei kuulu</v>
      </c>
      <c r="I32" s="3" t="str">
        <f>IF(OR(KysymyksetTaulukko[[#This Row],[Luokka]]="Ei kuulu",KysymyksetTaulukko[[#This Row],[Toimiala-
kysymys]]="Ei kuulu"), "Ei kuulu", "Kuuluu")</f>
        <v>Ei kuulu</v>
      </c>
      <c r="J32" s="3" t="str">
        <f>IF(KysymyksetTaulukko[[#This Row],[Luokka + toimiala]]="Kuuluu","a) Oman vesilaitoksen kysymykset","b) Muut kysymykset")</f>
        <v>b) Muut kysymykset</v>
      </c>
      <c r="K32" s="125" t="s">
        <v>7</v>
      </c>
      <c r="L32" s="9" t="s">
        <v>26</v>
      </c>
      <c r="M32" s="61" t="str">
        <f>LEFT(KysymyksetTaulukko[[#This Row],[Alakategoria_]],2)</f>
        <v>2.</v>
      </c>
      <c r="N32" s="109" t="s">
        <v>11</v>
      </c>
      <c r="O32" s="70" t="s">
        <v>206</v>
      </c>
      <c r="P32" s="67" t="str">
        <f>IF(AND(KysymyksetTaulukko[[#This Row],[Luokka]]="Extra",KysymyksetTaulukko[[#This Row],[Luokka + toimiala]]="Kuuluu"),"Extra","")</f>
        <v/>
      </c>
      <c r="Q32" s="114"/>
      <c r="R32" s="64" t="s">
        <v>45</v>
      </c>
      <c r="S32" s="159"/>
      <c r="T32" s="123">
        <f>IF(AND(KysymyksetTaulukko[[#This Row],[Luokka + toimiala]]="Kuuluu",KysymyksetTaulukko[[#This Row],[Vastaus]]="Kyllä"),1,0)</f>
        <v>0</v>
      </c>
      <c r="U32" s="121">
        <f>IF(AND(KysymyksetTaulukko[[#This Row],[Maksimipisteet]]=1,NOT(ISBLANK(KysymyksetTaulukko[[#This Row],[Vastaus]]))),1,0)</f>
        <v>0</v>
      </c>
      <c r="V32" s="123">
        <f>IF(OR(KysymyksetTaulukko[[#This Row],[Luokka + toimiala]]="Ei kuulu",KysymyksetTaulukko[[#This Row],[Vastaus]]="Ei koske",KysymyksetTaulukko[[#This Row],[Luokka]]="Extra",KysymyksetTaulukko[[#This Row],[Otsikkorivi]]="Kyllä"),0,1)</f>
        <v>0</v>
      </c>
    </row>
    <row r="33" spans="1:22" ht="45" x14ac:dyDescent="0.25">
      <c r="A33" s="3" t="s">
        <v>6</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28</v>
      </c>
      <c r="D33" s="3" t="str">
        <f>IF(ISNUMBER(SEARCH(LV!$I$5, Turvallinen_ja_toimintavarma!C33)), "K", "E")</f>
        <v>E</v>
      </c>
      <c r="E33" s="3" t="str">
        <f>IF(ISNUMBER(SEARCH(LV!$I$6, Turvallinen_ja_toimintavarma!$C33)), "K", "E")</f>
        <v>E</v>
      </c>
      <c r="F33" s="3" t="str">
        <f>IF(ISNUMBER(SEARCH(LV!$I$7, Turvallinen_ja_toimintavarma!$C33)), "K", "E")</f>
        <v>E</v>
      </c>
      <c r="G33" s="3" t="str">
        <f>IF(ISNUMBER(SEARCH(LV!$I$8, Turvallinen_ja_toimintavarma!$C33)), "K", "E")</f>
        <v>E</v>
      </c>
      <c r="H33" s="3" t="str">
        <f>IF(OR(KysymyksetTaulukko[[#This Row],[Toimiala A]]="K",KysymyksetTaulukko[[#This Row],[Toimiala B]]="K",KysymyksetTaulukko[[#This Row],[Toimiala C]]="K",KysymyksetTaulukko[[#This Row],[Toimiala D]]="K"),"Kuuluu","Ei kuulu")</f>
        <v>Ei kuulu</v>
      </c>
      <c r="I33" s="3" t="str">
        <f>IF(OR(KysymyksetTaulukko[[#This Row],[Luokka]]="Ei kuulu",KysymyksetTaulukko[[#This Row],[Toimiala-
kysymys]]="Ei kuulu"), "Ei kuulu", "Kuuluu")</f>
        <v>Ei kuulu</v>
      </c>
      <c r="J33" s="3" t="str">
        <f>IF(KysymyksetTaulukko[[#This Row],[Luokka + toimiala]]="Kuuluu","a) Oman vesilaitoksen kysymykset","b) Muut kysymykset")</f>
        <v>b) Muut kysymykset</v>
      </c>
      <c r="K33" s="125" t="s">
        <v>7</v>
      </c>
      <c r="L33" s="9" t="s">
        <v>26</v>
      </c>
      <c r="M33" s="61" t="str">
        <f>LEFT(KysymyksetTaulukko[[#This Row],[Alakategoria_]],2)</f>
        <v>2.</v>
      </c>
      <c r="N33" s="109" t="s">
        <v>11</v>
      </c>
      <c r="O33" s="70" t="s">
        <v>206</v>
      </c>
      <c r="P33" s="67" t="str">
        <f>IF(AND(KysymyksetTaulukko[[#This Row],[Luokka]]="Extra",KysymyksetTaulukko[[#This Row],[Luokka + toimiala]]="Kuuluu"),"Extra","")</f>
        <v/>
      </c>
      <c r="Q33" s="114"/>
      <c r="R33" s="64" t="s">
        <v>46</v>
      </c>
      <c r="S33" s="159"/>
      <c r="T33" s="123">
        <f>IF(AND(KysymyksetTaulukko[[#This Row],[Luokka + toimiala]]="Kuuluu",KysymyksetTaulukko[[#This Row],[Vastaus]]="Kyllä"),1,0)</f>
        <v>0</v>
      </c>
      <c r="U33" s="121">
        <f>IF(AND(KysymyksetTaulukko[[#This Row],[Maksimipisteet]]=1,NOT(ISBLANK(KysymyksetTaulukko[[#This Row],[Vastaus]]))),1,0)</f>
        <v>0</v>
      </c>
      <c r="V33" s="123">
        <f>IF(OR(KysymyksetTaulukko[[#This Row],[Luokka + toimiala]]="Ei kuulu",KysymyksetTaulukko[[#This Row],[Vastaus]]="Ei koske",KysymyksetTaulukko[[#This Row],[Luokka]]="Extra",KysymyksetTaulukko[[#This Row],[Otsikkorivi]]="Kyllä"),0,1)</f>
        <v>0</v>
      </c>
    </row>
    <row r="34" spans="1:22" ht="45" x14ac:dyDescent="0.25">
      <c r="A34" s="3" t="s">
        <v>6</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28</v>
      </c>
      <c r="D34" s="3" t="str">
        <f>IF(ISNUMBER(SEARCH(LV!$I$5, Turvallinen_ja_toimintavarma!C34)), "K", "E")</f>
        <v>E</v>
      </c>
      <c r="E34" s="3" t="str">
        <f>IF(ISNUMBER(SEARCH(LV!$I$6, Turvallinen_ja_toimintavarma!$C34)), "K", "E")</f>
        <v>E</v>
      </c>
      <c r="F34" s="3" t="str">
        <f>IF(ISNUMBER(SEARCH(LV!$I$7, Turvallinen_ja_toimintavarma!$C34)), "K", "E")</f>
        <v>E</v>
      </c>
      <c r="G34" s="3" t="str">
        <f>IF(ISNUMBER(SEARCH(LV!$I$8, Turvallinen_ja_toimintavarma!$C34)), "K", "E")</f>
        <v>E</v>
      </c>
      <c r="H34" s="3" t="str">
        <f>IF(OR(KysymyksetTaulukko[[#This Row],[Toimiala A]]="K",KysymyksetTaulukko[[#This Row],[Toimiala B]]="K",KysymyksetTaulukko[[#This Row],[Toimiala C]]="K",KysymyksetTaulukko[[#This Row],[Toimiala D]]="K"),"Kuuluu","Ei kuulu")</f>
        <v>Ei kuulu</v>
      </c>
      <c r="I34" s="3" t="str">
        <f>IF(OR(KysymyksetTaulukko[[#This Row],[Luokka]]="Ei kuulu",KysymyksetTaulukko[[#This Row],[Toimiala-
kysymys]]="Ei kuulu"), "Ei kuulu", "Kuuluu")</f>
        <v>Ei kuulu</v>
      </c>
      <c r="J34" s="3" t="str">
        <f>IF(KysymyksetTaulukko[[#This Row],[Luokka + toimiala]]="Kuuluu","a) Oman vesilaitoksen kysymykset","b) Muut kysymykset")</f>
        <v>b) Muut kysymykset</v>
      </c>
      <c r="K34" s="125" t="s">
        <v>7</v>
      </c>
      <c r="L34" s="9" t="s">
        <v>26</v>
      </c>
      <c r="M34" s="61" t="str">
        <f>LEFT(KysymyksetTaulukko[[#This Row],[Alakategoria_]],2)</f>
        <v>2.</v>
      </c>
      <c r="N34" s="109" t="s">
        <v>11</v>
      </c>
      <c r="O34" s="70" t="s">
        <v>206</v>
      </c>
      <c r="P34" s="67" t="str">
        <f>IF(AND(KysymyksetTaulukko[[#This Row],[Luokka]]="Extra",KysymyksetTaulukko[[#This Row],[Luokka + toimiala]]="Kuuluu"),"Extra","")</f>
        <v/>
      </c>
      <c r="Q34" s="114"/>
      <c r="R34" s="64" t="s">
        <v>47</v>
      </c>
      <c r="S34" s="159"/>
      <c r="T34" s="123">
        <f>IF(AND(KysymyksetTaulukko[[#This Row],[Luokka + toimiala]]="Kuuluu",KysymyksetTaulukko[[#This Row],[Vastaus]]="Kyllä"),1,0)</f>
        <v>0</v>
      </c>
      <c r="U34" s="121">
        <f>IF(AND(KysymyksetTaulukko[[#This Row],[Maksimipisteet]]=1,NOT(ISBLANK(KysymyksetTaulukko[[#This Row],[Vastaus]]))),1,0)</f>
        <v>0</v>
      </c>
      <c r="V34" s="123">
        <f>IF(OR(KysymyksetTaulukko[[#This Row],[Luokka + toimiala]]="Ei kuulu",KysymyksetTaulukko[[#This Row],[Vastaus]]="Ei koske",KysymyksetTaulukko[[#This Row],[Luokka]]="Extra",KysymyksetTaulukko[[#This Row],[Otsikkorivi]]="Kyllä"),0,1)</f>
        <v>0</v>
      </c>
    </row>
    <row r="35" spans="1:22" ht="30" x14ac:dyDescent="0.25">
      <c r="A35" s="3" t="s">
        <v>6</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44</v>
      </c>
      <c r="D35" s="3" t="str">
        <f>IF(ISNUMBER(SEARCH(LV!$I$5, Turvallinen_ja_toimintavarma!C35)), "K", "E")</f>
        <v>E</v>
      </c>
      <c r="E35" s="3" t="str">
        <f>IF(ISNUMBER(SEARCH(LV!$I$6, Turvallinen_ja_toimintavarma!$C35)), "K", "E")</f>
        <v>E</v>
      </c>
      <c r="F35" s="3" t="str">
        <f>IF(ISNUMBER(SEARCH(LV!$I$7, Turvallinen_ja_toimintavarma!$C35)), "K", "E")</f>
        <v>E</v>
      </c>
      <c r="G35" s="3" t="str">
        <f>IF(ISNUMBER(SEARCH(LV!$I$8, Turvallinen_ja_toimintavarma!$C35)), "K", "E")</f>
        <v>E</v>
      </c>
      <c r="H35" s="3" t="str">
        <f>IF(OR(KysymyksetTaulukko[[#This Row],[Toimiala A]]="K",KysymyksetTaulukko[[#This Row],[Toimiala B]]="K",KysymyksetTaulukko[[#This Row],[Toimiala C]]="K",KysymyksetTaulukko[[#This Row],[Toimiala D]]="K"),"Kuuluu","Ei kuulu")</f>
        <v>Ei kuulu</v>
      </c>
      <c r="I35" s="3" t="str">
        <f>IF(OR(KysymyksetTaulukko[[#This Row],[Luokka]]="Ei kuulu",KysymyksetTaulukko[[#This Row],[Toimiala-
kysymys]]="Ei kuulu"), "Ei kuulu", "Kuuluu")</f>
        <v>Ei kuulu</v>
      </c>
      <c r="J35" s="3" t="str">
        <f>IF(KysymyksetTaulukko[[#This Row],[Luokka + toimiala]]="Kuuluu","a) Oman vesilaitoksen kysymykset","b) Muut kysymykset")</f>
        <v>b) Muut kysymykset</v>
      </c>
      <c r="K35" s="125" t="s">
        <v>7</v>
      </c>
      <c r="L35" s="9" t="s">
        <v>26</v>
      </c>
      <c r="M35" s="61" t="str">
        <f>LEFT(KysymyksetTaulukko[[#This Row],[Alakategoria_]],2)</f>
        <v>2.</v>
      </c>
      <c r="N35" s="109" t="s">
        <v>11</v>
      </c>
      <c r="O35" s="70" t="s">
        <v>206</v>
      </c>
      <c r="P35" s="67" t="str">
        <f>IF(AND(KysymyksetTaulukko[[#This Row],[Luokka]]="Extra",KysymyksetTaulukko[[#This Row],[Luokka + toimiala]]="Kuuluu"),"Extra","")</f>
        <v/>
      </c>
      <c r="Q35" s="114"/>
      <c r="R35" s="64" t="s">
        <v>48</v>
      </c>
      <c r="S35" s="159"/>
      <c r="T35" s="123">
        <f>IF(AND(KysymyksetTaulukko[[#This Row],[Luokka + toimiala]]="Kuuluu",KysymyksetTaulukko[[#This Row],[Vastaus]]="Kyllä"),1,0)</f>
        <v>0</v>
      </c>
      <c r="U35" s="121">
        <f>IF(AND(KysymyksetTaulukko[[#This Row],[Maksimipisteet]]=1,NOT(ISBLANK(KysymyksetTaulukko[[#This Row],[Vastaus]]))),1,0)</f>
        <v>0</v>
      </c>
      <c r="V35" s="123">
        <f>IF(OR(KysymyksetTaulukko[[#This Row],[Luokka + toimiala]]="Ei kuulu",KysymyksetTaulukko[[#This Row],[Vastaus]]="Ei koske",KysymyksetTaulukko[[#This Row],[Luokka]]="Extra",KysymyksetTaulukko[[#This Row],[Otsikkorivi]]="Kyllä"),0,1)</f>
        <v>0</v>
      </c>
    </row>
    <row r="36" spans="1:22" ht="30" x14ac:dyDescent="0.25">
      <c r="A36" s="3" t="s">
        <v>12</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28</v>
      </c>
      <c r="D36" s="3" t="str">
        <f>IF(ISNUMBER(SEARCH(LV!$I$5, Turvallinen_ja_toimintavarma!C36)), "K", "E")</f>
        <v>E</v>
      </c>
      <c r="E36" s="3" t="str">
        <f>IF(ISNUMBER(SEARCH(LV!$I$6, Turvallinen_ja_toimintavarma!$C36)), "K", "E")</f>
        <v>E</v>
      </c>
      <c r="F36" s="3" t="str">
        <f>IF(ISNUMBER(SEARCH(LV!$I$7, Turvallinen_ja_toimintavarma!$C36)), "K", "E")</f>
        <v>E</v>
      </c>
      <c r="G36" s="3" t="str">
        <f>IF(ISNUMBER(SEARCH(LV!$I$8, Turvallinen_ja_toimintavarma!$C36)), "K", "E")</f>
        <v>E</v>
      </c>
      <c r="H36" s="3" t="str">
        <f>IF(OR(KysymyksetTaulukko[[#This Row],[Toimiala A]]="K",KysymyksetTaulukko[[#This Row],[Toimiala B]]="K",KysymyksetTaulukko[[#This Row],[Toimiala C]]="K",KysymyksetTaulukko[[#This Row],[Toimiala D]]="K"),"Kuuluu","Ei kuulu")</f>
        <v>Ei kuulu</v>
      </c>
      <c r="I36" s="3" t="str">
        <f>IF(OR(KysymyksetTaulukko[[#This Row],[Luokka]]="Ei kuulu",KysymyksetTaulukko[[#This Row],[Toimiala-
kysymys]]="Ei kuulu"), "Ei kuulu", "Kuuluu")</f>
        <v>Ei kuulu</v>
      </c>
      <c r="J36" s="3" t="str">
        <f>IF(KysymyksetTaulukko[[#This Row],[Luokka + toimiala]]="Kuuluu","a) Oman vesilaitoksen kysymykset","b) Muut kysymykset")</f>
        <v>b) Muut kysymykset</v>
      </c>
      <c r="K36" s="125" t="s">
        <v>7</v>
      </c>
      <c r="L36" s="9" t="s">
        <v>26</v>
      </c>
      <c r="M36" s="61" t="str">
        <f>LEFT(KysymyksetTaulukko[[#This Row],[Alakategoria_]],2)</f>
        <v>2.</v>
      </c>
      <c r="N36" s="109" t="s">
        <v>11</v>
      </c>
      <c r="O36" s="70" t="s">
        <v>206</v>
      </c>
      <c r="P36" s="67" t="str">
        <f>IF(AND(KysymyksetTaulukko[[#This Row],[Luokka]]="Extra",KysymyksetTaulukko[[#This Row],[Luokka + toimiala]]="Kuuluu"),"Extra","")</f>
        <v/>
      </c>
      <c r="Q36" s="114"/>
      <c r="R36" s="64" t="s">
        <v>49</v>
      </c>
      <c r="S36" s="159"/>
      <c r="T36" s="123">
        <f>IF(AND(KysymyksetTaulukko[[#This Row],[Luokka + toimiala]]="Kuuluu",KysymyksetTaulukko[[#This Row],[Vastaus]]="Kyllä"),1,0)</f>
        <v>0</v>
      </c>
      <c r="U36" s="121">
        <f>IF(AND(KysymyksetTaulukko[[#This Row],[Maksimipisteet]]=1,NOT(ISBLANK(KysymyksetTaulukko[[#This Row],[Vastaus]]))),1,0)</f>
        <v>0</v>
      </c>
      <c r="V36" s="123">
        <f>IF(OR(KysymyksetTaulukko[[#This Row],[Luokka + toimiala]]="Ei kuulu",KysymyksetTaulukko[[#This Row],[Vastaus]]="Ei koske",KysymyksetTaulukko[[#This Row],[Luokka]]="Extra",KysymyksetTaulukko[[#This Row],[Otsikkorivi]]="Kyllä"),0,1)</f>
        <v>0</v>
      </c>
    </row>
    <row r="37" spans="1:22" ht="45" x14ac:dyDescent="0.25">
      <c r="A37" s="3" t="s">
        <v>12</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28</v>
      </c>
      <c r="D37" s="3" t="str">
        <f>IF(ISNUMBER(SEARCH(LV!$I$5, Turvallinen_ja_toimintavarma!C37)), "K", "E")</f>
        <v>E</v>
      </c>
      <c r="E37" s="3" t="str">
        <f>IF(ISNUMBER(SEARCH(LV!$I$6, Turvallinen_ja_toimintavarma!$C37)), "K", "E")</f>
        <v>E</v>
      </c>
      <c r="F37" s="3" t="str">
        <f>IF(ISNUMBER(SEARCH(LV!$I$7, Turvallinen_ja_toimintavarma!$C37)), "K", "E")</f>
        <v>E</v>
      </c>
      <c r="G37" s="3" t="str">
        <f>IF(ISNUMBER(SEARCH(LV!$I$8, Turvallinen_ja_toimintavarma!$C37)), "K", "E")</f>
        <v>E</v>
      </c>
      <c r="H37" s="3" t="str">
        <f>IF(OR(KysymyksetTaulukko[[#This Row],[Toimiala A]]="K",KysymyksetTaulukko[[#This Row],[Toimiala B]]="K",KysymyksetTaulukko[[#This Row],[Toimiala C]]="K",KysymyksetTaulukko[[#This Row],[Toimiala D]]="K"),"Kuuluu","Ei kuulu")</f>
        <v>Ei kuulu</v>
      </c>
      <c r="I37" s="3" t="str">
        <f>IF(OR(KysymyksetTaulukko[[#This Row],[Luokka]]="Ei kuulu",KysymyksetTaulukko[[#This Row],[Toimiala-
kysymys]]="Ei kuulu"), "Ei kuulu", "Kuuluu")</f>
        <v>Ei kuulu</v>
      </c>
      <c r="J37" s="3" t="str">
        <f>IF(KysymyksetTaulukko[[#This Row],[Luokka + toimiala]]="Kuuluu","a) Oman vesilaitoksen kysymykset","b) Muut kysymykset")</f>
        <v>b) Muut kysymykset</v>
      </c>
      <c r="K37" s="125" t="s">
        <v>7</v>
      </c>
      <c r="L37" s="9" t="s">
        <v>26</v>
      </c>
      <c r="M37" s="61" t="str">
        <f>LEFT(KysymyksetTaulukko[[#This Row],[Alakategoria_]],2)</f>
        <v>2.</v>
      </c>
      <c r="N37" s="109" t="s">
        <v>11</v>
      </c>
      <c r="O37" s="70" t="s">
        <v>206</v>
      </c>
      <c r="P37" s="67" t="str">
        <f>IF(AND(KysymyksetTaulukko[[#This Row],[Luokka]]="Extra",KysymyksetTaulukko[[#This Row],[Luokka + toimiala]]="Kuuluu"),"Extra","")</f>
        <v/>
      </c>
      <c r="Q37" s="114"/>
      <c r="R37" s="64" t="s">
        <v>50</v>
      </c>
      <c r="S37" s="159"/>
      <c r="T37" s="123">
        <f>IF(AND(KysymyksetTaulukko[[#This Row],[Luokka + toimiala]]="Kuuluu",KysymyksetTaulukko[[#This Row],[Vastaus]]="Kyllä"),1,0)</f>
        <v>0</v>
      </c>
      <c r="U37" s="121">
        <f>IF(AND(KysymyksetTaulukko[[#This Row],[Maksimipisteet]]=1,NOT(ISBLANK(KysymyksetTaulukko[[#This Row],[Vastaus]]))),1,0)</f>
        <v>0</v>
      </c>
      <c r="V37" s="123">
        <f>IF(OR(KysymyksetTaulukko[[#This Row],[Luokka + toimiala]]="Ei kuulu",KysymyksetTaulukko[[#This Row],[Vastaus]]="Ei koske",KysymyksetTaulukko[[#This Row],[Luokka]]="Extra",KysymyksetTaulukko[[#This Row],[Otsikkorivi]]="Kyllä"),0,1)</f>
        <v>0</v>
      </c>
    </row>
    <row r="38" spans="1:22" ht="30" x14ac:dyDescent="0.25">
      <c r="A38" s="3" t="s">
        <v>12</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28</v>
      </c>
      <c r="D38" s="3" t="str">
        <f>IF(ISNUMBER(SEARCH(LV!$I$5, Turvallinen_ja_toimintavarma!C38)), "K", "E")</f>
        <v>E</v>
      </c>
      <c r="E38" s="3" t="str">
        <f>IF(ISNUMBER(SEARCH(LV!$I$6, Turvallinen_ja_toimintavarma!$C38)), "K", "E")</f>
        <v>E</v>
      </c>
      <c r="F38" s="3" t="str">
        <f>IF(ISNUMBER(SEARCH(LV!$I$7, Turvallinen_ja_toimintavarma!$C38)), "K", "E")</f>
        <v>E</v>
      </c>
      <c r="G38" s="3" t="str">
        <f>IF(ISNUMBER(SEARCH(LV!$I$8, Turvallinen_ja_toimintavarma!$C38)), "K", "E")</f>
        <v>E</v>
      </c>
      <c r="H38" s="3" t="str">
        <f>IF(OR(KysymyksetTaulukko[[#This Row],[Toimiala A]]="K",KysymyksetTaulukko[[#This Row],[Toimiala B]]="K",KysymyksetTaulukko[[#This Row],[Toimiala C]]="K",KysymyksetTaulukko[[#This Row],[Toimiala D]]="K"),"Kuuluu","Ei kuulu")</f>
        <v>Ei kuulu</v>
      </c>
      <c r="I38" s="3" t="str">
        <f>IF(OR(KysymyksetTaulukko[[#This Row],[Luokka]]="Ei kuulu",KysymyksetTaulukko[[#This Row],[Toimiala-
kysymys]]="Ei kuulu"), "Ei kuulu", "Kuuluu")</f>
        <v>Ei kuulu</v>
      </c>
      <c r="J38" s="3" t="str">
        <f>IF(KysymyksetTaulukko[[#This Row],[Luokka + toimiala]]="Kuuluu","a) Oman vesilaitoksen kysymykset","b) Muut kysymykset")</f>
        <v>b) Muut kysymykset</v>
      </c>
      <c r="K38" s="125" t="s">
        <v>7</v>
      </c>
      <c r="L38" s="9" t="s">
        <v>26</v>
      </c>
      <c r="M38" s="61" t="str">
        <f>LEFT(KysymyksetTaulukko[[#This Row],[Alakategoria_]],2)</f>
        <v>2.</v>
      </c>
      <c r="N38" s="109" t="s">
        <v>11</v>
      </c>
      <c r="O38" s="70" t="s">
        <v>206</v>
      </c>
      <c r="P38" s="67" t="str">
        <f>IF(AND(KysymyksetTaulukko[[#This Row],[Luokka]]="Extra",KysymyksetTaulukko[[#This Row],[Luokka + toimiala]]="Kuuluu"),"Extra","")</f>
        <v/>
      </c>
      <c r="Q38" s="114"/>
      <c r="R38" s="64" t="s">
        <v>51</v>
      </c>
      <c r="S38" s="159"/>
      <c r="T38" s="123">
        <f>IF(AND(KysymyksetTaulukko[[#This Row],[Luokka + toimiala]]="Kuuluu",KysymyksetTaulukko[[#This Row],[Vastaus]]="Kyllä"),1,0)</f>
        <v>0</v>
      </c>
      <c r="U38" s="121">
        <f>IF(AND(KysymyksetTaulukko[[#This Row],[Maksimipisteet]]=1,NOT(ISBLANK(KysymyksetTaulukko[[#This Row],[Vastaus]]))),1,0)</f>
        <v>0</v>
      </c>
      <c r="V38" s="123">
        <f>IF(OR(KysymyksetTaulukko[[#This Row],[Luokka + toimiala]]="Ei kuulu",KysymyksetTaulukko[[#This Row],[Vastaus]]="Ei koske",KysymyksetTaulukko[[#This Row],[Luokka]]="Extra",KysymyksetTaulukko[[#This Row],[Otsikkorivi]]="Kyllä"),0,1)</f>
        <v>0</v>
      </c>
    </row>
    <row r="39" spans="1:22" ht="30" x14ac:dyDescent="0.25">
      <c r="A39" s="3">
        <v>3.4</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28</v>
      </c>
      <c r="D39" s="3" t="str">
        <f>IF(ISNUMBER(SEARCH(LV!$I$5, Turvallinen_ja_toimintavarma!C39)), "K", "E")</f>
        <v>E</v>
      </c>
      <c r="E39" s="3" t="str">
        <f>IF(ISNUMBER(SEARCH(LV!$I$6, Turvallinen_ja_toimintavarma!$C39)), "K", "E")</f>
        <v>E</v>
      </c>
      <c r="F39" s="3" t="str">
        <f>IF(ISNUMBER(SEARCH(LV!$I$7, Turvallinen_ja_toimintavarma!$C39)), "K", "E")</f>
        <v>E</v>
      </c>
      <c r="G39" s="3" t="str">
        <f>IF(ISNUMBER(SEARCH(LV!$I$8, Turvallinen_ja_toimintavarma!$C39)), "K", "E")</f>
        <v>E</v>
      </c>
      <c r="H39" s="3" t="str">
        <f>IF(OR(KysymyksetTaulukko[[#This Row],[Toimiala A]]="K",KysymyksetTaulukko[[#This Row],[Toimiala B]]="K",KysymyksetTaulukko[[#This Row],[Toimiala C]]="K",KysymyksetTaulukko[[#This Row],[Toimiala D]]="K"),"Kuuluu","Ei kuulu")</f>
        <v>Ei kuulu</v>
      </c>
      <c r="I39" s="3" t="str">
        <f>IF(OR(KysymyksetTaulukko[[#This Row],[Luokka]]="Ei kuulu",KysymyksetTaulukko[[#This Row],[Toimiala-
kysymys]]="Ei kuulu"), "Ei kuulu", "Kuuluu")</f>
        <v>Ei kuulu</v>
      </c>
      <c r="J39" s="3" t="str">
        <f>IF(KysymyksetTaulukko[[#This Row],[Luokka + toimiala]]="Kuuluu","a) Oman vesilaitoksen kysymykset","b) Muut kysymykset")</f>
        <v>b) Muut kysymykset</v>
      </c>
      <c r="K39" s="125" t="s">
        <v>7</v>
      </c>
      <c r="L39" s="9" t="s">
        <v>26</v>
      </c>
      <c r="M39" s="61" t="str">
        <f>LEFT(KysymyksetTaulukko[[#This Row],[Alakategoria_]],2)</f>
        <v>2.</v>
      </c>
      <c r="N39" s="109" t="s">
        <v>11</v>
      </c>
      <c r="O39" s="70" t="s">
        <v>206</v>
      </c>
      <c r="P39" s="67" t="str">
        <f>IF(AND(KysymyksetTaulukko[[#This Row],[Luokka]]="Extra",KysymyksetTaulukko[[#This Row],[Luokka + toimiala]]="Kuuluu"),"Extra","")</f>
        <v/>
      </c>
      <c r="Q39" s="114"/>
      <c r="R39" s="64" t="s">
        <v>52</v>
      </c>
      <c r="S39" s="159"/>
      <c r="T39" s="123">
        <f>IF(AND(KysymyksetTaulukko[[#This Row],[Luokka + toimiala]]="Kuuluu",KysymyksetTaulukko[[#This Row],[Vastaus]]="Kyllä"),1,0)</f>
        <v>0</v>
      </c>
      <c r="U39" s="121">
        <f>IF(AND(KysymyksetTaulukko[[#This Row],[Maksimipisteet]]=1,NOT(ISBLANK(KysymyksetTaulukko[[#This Row],[Vastaus]]))),1,0)</f>
        <v>0</v>
      </c>
      <c r="V39" s="123">
        <f>IF(OR(KysymyksetTaulukko[[#This Row],[Luokka + toimiala]]="Ei kuulu",KysymyksetTaulukko[[#This Row],[Vastaus]]="Ei koske",KysymyksetTaulukko[[#This Row],[Luokka]]="Extra",KysymyksetTaulukko[[#This Row],[Otsikkorivi]]="Kyllä"),0,1)</f>
        <v>0</v>
      </c>
    </row>
    <row r="40" spans="1:22" ht="45" x14ac:dyDescent="0.25">
      <c r="A40" s="3">
        <v>3.4</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28</v>
      </c>
      <c r="D40" s="3" t="str">
        <f>IF(ISNUMBER(SEARCH(LV!$I$5, Turvallinen_ja_toimintavarma!C40)), "K", "E")</f>
        <v>E</v>
      </c>
      <c r="E40" s="3" t="str">
        <f>IF(ISNUMBER(SEARCH(LV!$I$6, Turvallinen_ja_toimintavarma!$C40)), "K", "E")</f>
        <v>E</v>
      </c>
      <c r="F40" s="3" t="str">
        <f>IF(ISNUMBER(SEARCH(LV!$I$7, Turvallinen_ja_toimintavarma!$C40)), "K", "E")</f>
        <v>E</v>
      </c>
      <c r="G40" s="3" t="str">
        <f>IF(ISNUMBER(SEARCH(LV!$I$8, Turvallinen_ja_toimintavarma!$C40)), "K", "E")</f>
        <v>E</v>
      </c>
      <c r="H40" s="3" t="str">
        <f>IF(OR(KysymyksetTaulukko[[#This Row],[Toimiala A]]="K",KysymyksetTaulukko[[#This Row],[Toimiala B]]="K",KysymyksetTaulukko[[#This Row],[Toimiala C]]="K",KysymyksetTaulukko[[#This Row],[Toimiala D]]="K"),"Kuuluu","Ei kuulu")</f>
        <v>Ei kuulu</v>
      </c>
      <c r="I40" s="3" t="str">
        <f>IF(OR(KysymyksetTaulukko[[#This Row],[Luokka]]="Ei kuulu",KysymyksetTaulukko[[#This Row],[Toimiala-
kysymys]]="Ei kuulu"), "Ei kuulu", "Kuuluu")</f>
        <v>Ei kuulu</v>
      </c>
      <c r="J40" s="3" t="str">
        <f>IF(KysymyksetTaulukko[[#This Row],[Luokka + toimiala]]="Kuuluu","a) Oman vesilaitoksen kysymykset","b) Muut kysymykset")</f>
        <v>b) Muut kysymykset</v>
      </c>
      <c r="K40" s="125" t="s">
        <v>7</v>
      </c>
      <c r="L40" s="9" t="s">
        <v>26</v>
      </c>
      <c r="M40" s="61" t="str">
        <f>LEFT(KysymyksetTaulukko[[#This Row],[Alakategoria_]],2)</f>
        <v>2.</v>
      </c>
      <c r="N40" s="109" t="s">
        <v>11</v>
      </c>
      <c r="O40" s="70" t="s">
        <v>206</v>
      </c>
      <c r="P40" s="67" t="str">
        <f>IF(AND(KysymyksetTaulukko[[#This Row],[Luokka]]="Extra",KysymyksetTaulukko[[#This Row],[Luokka + toimiala]]="Kuuluu"),"Extra","")</f>
        <v/>
      </c>
      <c r="Q40" s="114"/>
      <c r="R40" s="64" t="s">
        <v>53</v>
      </c>
      <c r="S40" s="159"/>
      <c r="T40" s="123">
        <f>IF(AND(KysymyksetTaulukko[[#This Row],[Luokka + toimiala]]="Kuuluu",KysymyksetTaulukko[[#This Row],[Vastaus]]="Kyllä"),1,0)</f>
        <v>0</v>
      </c>
      <c r="U40" s="121">
        <f>IF(AND(KysymyksetTaulukko[[#This Row],[Maksimipisteet]]=1,NOT(ISBLANK(KysymyksetTaulukko[[#This Row],[Vastaus]]))),1,0)</f>
        <v>0</v>
      </c>
      <c r="V40" s="123">
        <f>IF(OR(KysymyksetTaulukko[[#This Row],[Luokka + toimiala]]="Ei kuulu",KysymyksetTaulukko[[#This Row],[Vastaus]]="Ei koske",KysymyksetTaulukko[[#This Row],[Luokka]]="Extra",KysymyksetTaulukko[[#This Row],[Otsikkorivi]]="Kyllä"),0,1)</f>
        <v>0</v>
      </c>
    </row>
    <row r="41" spans="1:22" ht="30" x14ac:dyDescent="0.25">
      <c r="A41" s="3" t="s">
        <v>40</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28</v>
      </c>
      <c r="D41" s="3" t="str">
        <f>IF(ISNUMBER(SEARCH(LV!$I$5, Turvallinen_ja_toimintavarma!C41)), "K", "E")</f>
        <v>E</v>
      </c>
      <c r="E41" s="3" t="str">
        <f>IF(ISNUMBER(SEARCH(LV!$I$6, Turvallinen_ja_toimintavarma!$C41)), "K", "E")</f>
        <v>E</v>
      </c>
      <c r="F41" s="3" t="str">
        <f>IF(ISNUMBER(SEARCH(LV!$I$7, Turvallinen_ja_toimintavarma!$C41)), "K", "E")</f>
        <v>E</v>
      </c>
      <c r="G41" s="3" t="str">
        <f>IF(ISNUMBER(SEARCH(LV!$I$8, Turvallinen_ja_toimintavarma!$C41)), "K", "E")</f>
        <v>E</v>
      </c>
      <c r="H41" s="3" t="str">
        <f>IF(OR(KysymyksetTaulukko[[#This Row],[Toimiala A]]="K",KysymyksetTaulukko[[#This Row],[Toimiala B]]="K",KysymyksetTaulukko[[#This Row],[Toimiala C]]="K",KysymyksetTaulukko[[#This Row],[Toimiala D]]="K"),"Kuuluu","Ei kuulu")</f>
        <v>Ei kuulu</v>
      </c>
      <c r="I41" s="3" t="str">
        <f>IF(OR(KysymyksetTaulukko[[#This Row],[Luokka]]="Ei kuulu",KysymyksetTaulukko[[#This Row],[Toimiala-
kysymys]]="Ei kuulu"), "Ei kuulu", "Kuuluu")</f>
        <v>Ei kuulu</v>
      </c>
      <c r="J41" s="3" t="str">
        <f>IF(KysymyksetTaulukko[[#This Row],[Luokka + toimiala]]="Kuuluu","a) Oman vesilaitoksen kysymykset","b) Muut kysymykset")</f>
        <v>b) Muut kysymykset</v>
      </c>
      <c r="K41" s="125" t="s">
        <v>7</v>
      </c>
      <c r="L41" s="9" t="s">
        <v>26</v>
      </c>
      <c r="M41" s="61" t="str">
        <f>LEFT(KysymyksetTaulukko[[#This Row],[Alakategoria_]],2)</f>
        <v>2.</v>
      </c>
      <c r="N41" s="109" t="s">
        <v>11</v>
      </c>
      <c r="O41" s="70" t="s">
        <v>206</v>
      </c>
      <c r="P41" s="67" t="str">
        <f>IF(AND(KysymyksetTaulukko[[#This Row],[Luokka]]="Extra",KysymyksetTaulukko[[#This Row],[Luokka + toimiala]]="Kuuluu"),"Extra","")</f>
        <v/>
      </c>
      <c r="Q41" s="114"/>
      <c r="R41" s="64" t="s">
        <v>54</v>
      </c>
      <c r="S41" s="159"/>
      <c r="T41" s="123">
        <f>IF(AND(KysymyksetTaulukko[[#This Row],[Luokka + toimiala]]="Kuuluu",KysymyksetTaulukko[[#This Row],[Vastaus]]="Kyllä"),1,0)</f>
        <v>0</v>
      </c>
      <c r="U41" s="121">
        <f>IF(AND(KysymyksetTaulukko[[#This Row],[Maksimipisteet]]=1,NOT(ISBLANK(KysymyksetTaulukko[[#This Row],[Vastaus]]))),1,0)</f>
        <v>0</v>
      </c>
      <c r="V41" s="123">
        <f>IF(OR(KysymyksetTaulukko[[#This Row],[Luokka + toimiala]]="Ei kuulu",KysymyksetTaulukko[[#This Row],[Vastaus]]="Ei koske",KysymyksetTaulukko[[#This Row],[Luokka]]="Extra",KysymyksetTaulukko[[#This Row],[Otsikkorivi]]="Kyllä"),0,1)</f>
        <v>0</v>
      </c>
    </row>
    <row r="42" spans="1:22" ht="30" x14ac:dyDescent="0.25">
      <c r="A42" s="3">
        <v>4</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28</v>
      </c>
      <c r="D42" s="3" t="str">
        <f>IF(ISNUMBER(SEARCH(LV!$I$5, Turvallinen_ja_toimintavarma!C42)), "K", "E")</f>
        <v>E</v>
      </c>
      <c r="E42" s="3" t="str">
        <f>IF(ISNUMBER(SEARCH(LV!$I$6, Turvallinen_ja_toimintavarma!$C42)), "K", "E")</f>
        <v>E</v>
      </c>
      <c r="F42" s="3" t="str">
        <f>IF(ISNUMBER(SEARCH(LV!$I$7, Turvallinen_ja_toimintavarma!$C42)), "K", "E")</f>
        <v>E</v>
      </c>
      <c r="G42" s="3" t="str">
        <f>IF(ISNUMBER(SEARCH(LV!$I$8, Turvallinen_ja_toimintavarma!$C42)), "K", "E")</f>
        <v>E</v>
      </c>
      <c r="H42" s="3" t="str">
        <f>IF(OR(KysymyksetTaulukko[[#This Row],[Toimiala A]]="K",KysymyksetTaulukko[[#This Row],[Toimiala B]]="K",KysymyksetTaulukko[[#This Row],[Toimiala C]]="K",KysymyksetTaulukko[[#This Row],[Toimiala D]]="K"),"Kuuluu","Ei kuulu")</f>
        <v>Ei kuulu</v>
      </c>
      <c r="I42" s="3" t="str">
        <f>IF(OR(KysymyksetTaulukko[[#This Row],[Luokka]]="Ei kuulu",KysymyksetTaulukko[[#This Row],[Toimiala-
kysymys]]="Ei kuulu"), "Ei kuulu", "Kuuluu")</f>
        <v>Ei kuulu</v>
      </c>
      <c r="J42" s="3" t="str">
        <f>IF(KysymyksetTaulukko[[#This Row],[Luokka + toimiala]]="Kuuluu","a) Oman vesilaitoksen kysymykset","b) Muut kysymykset")</f>
        <v>b) Muut kysymykset</v>
      </c>
      <c r="K42" s="125" t="s">
        <v>7</v>
      </c>
      <c r="L42" s="9" t="s">
        <v>26</v>
      </c>
      <c r="M42" s="61" t="str">
        <f>LEFT(KysymyksetTaulukko[[#This Row],[Alakategoria_]],2)</f>
        <v>2.</v>
      </c>
      <c r="N42" s="109" t="s">
        <v>11</v>
      </c>
      <c r="O42" s="70" t="s">
        <v>206</v>
      </c>
      <c r="P42" s="67" t="str">
        <f>IF(AND(KysymyksetTaulukko[[#This Row],[Luokka]]="Extra",KysymyksetTaulukko[[#This Row],[Luokka + toimiala]]="Kuuluu"),"Extra","")</f>
        <v/>
      </c>
      <c r="Q42" s="114"/>
      <c r="R42" s="64" t="s">
        <v>55</v>
      </c>
      <c r="S42" s="159"/>
      <c r="T42" s="123">
        <f>IF(AND(KysymyksetTaulukko[[#This Row],[Luokka + toimiala]]="Kuuluu",KysymyksetTaulukko[[#This Row],[Vastaus]]="Kyllä"),1,0)</f>
        <v>0</v>
      </c>
      <c r="U42" s="121">
        <f>IF(AND(KysymyksetTaulukko[[#This Row],[Maksimipisteet]]=1,NOT(ISBLANK(KysymyksetTaulukko[[#This Row],[Vastaus]]))),1,0)</f>
        <v>0</v>
      </c>
      <c r="V42" s="123">
        <f>IF(OR(KysymyksetTaulukko[[#This Row],[Luokka + toimiala]]="Ei kuulu",KysymyksetTaulukko[[#This Row],[Vastaus]]="Ei koske",KysymyksetTaulukko[[#This Row],[Luokka]]="Extra",KysymyksetTaulukko[[#This Row],[Otsikkorivi]]="Kyllä"),0,1)</f>
        <v>0</v>
      </c>
    </row>
    <row r="43" spans="1:22" ht="28.5" x14ac:dyDescent="0.25">
      <c r="A43" s="3" t="s">
        <v>6</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28</v>
      </c>
      <c r="D43" s="3" t="str">
        <f>IF(ISNUMBER(SEARCH(LV!$I$5, Turvallinen_ja_toimintavarma!C43)), "K", "E")</f>
        <v>E</v>
      </c>
      <c r="E43" s="3" t="str">
        <f>IF(ISNUMBER(SEARCH(LV!$I$6, Turvallinen_ja_toimintavarma!$C43)), "K", "E")</f>
        <v>E</v>
      </c>
      <c r="F43" s="3" t="str">
        <f>IF(ISNUMBER(SEARCH(LV!$I$7, Turvallinen_ja_toimintavarma!$C43)), "K", "E")</f>
        <v>E</v>
      </c>
      <c r="G43" s="3" t="str">
        <f>IF(ISNUMBER(SEARCH(LV!$I$8, Turvallinen_ja_toimintavarma!$C43)), "K", "E")</f>
        <v>E</v>
      </c>
      <c r="H43" s="3" t="str">
        <f>IF(OR(KysymyksetTaulukko[[#This Row],[Toimiala A]]="K",KysymyksetTaulukko[[#This Row],[Toimiala B]]="K",KysymyksetTaulukko[[#This Row],[Toimiala C]]="K",KysymyksetTaulukko[[#This Row],[Toimiala D]]="K"),"Kuuluu","Ei kuulu")</f>
        <v>Ei kuulu</v>
      </c>
      <c r="I43" s="3" t="str">
        <f>IF(OR(KysymyksetTaulukko[[#This Row],[Luokka]]="Ei kuulu",KysymyksetTaulukko[[#This Row],[Toimiala-
kysymys]]="Ei kuulu"), "Ei kuulu", "Kuuluu")</f>
        <v>Ei kuulu</v>
      </c>
      <c r="J43" s="3" t="str">
        <f>IF(KysymyksetTaulukko[[#This Row],[Luokka + toimiala]]="Kuuluu","a) Oman vesilaitoksen kysymykset","b) Muut kysymykset")</f>
        <v>b) Muut kysymykset</v>
      </c>
      <c r="K43" s="125" t="s">
        <v>7</v>
      </c>
      <c r="L43" s="9" t="s">
        <v>241</v>
      </c>
      <c r="M43" s="61" t="str">
        <f>LEFT(KysymyksetTaulukko[[#This Row],[Alakategoria_]],2)</f>
        <v>_O</v>
      </c>
      <c r="N43" s="107"/>
      <c r="O43" s="70"/>
      <c r="P43" s="67" t="str">
        <f>IF(AND(KysymyksetTaulukko[[#This Row],[Luokka]]="Extra",KysymyksetTaulukko[[#This Row],[Luokka + toimiala]]="Kuuluu"),"Extra","")</f>
        <v/>
      </c>
      <c r="Q43" s="114" t="s">
        <v>177</v>
      </c>
      <c r="R43" s="128" t="s">
        <v>56</v>
      </c>
      <c r="S43" s="158"/>
      <c r="T43" s="123">
        <f>IF(AND(KysymyksetTaulukko[[#This Row],[Luokka + toimiala]]="Kuuluu",KysymyksetTaulukko[[#This Row],[Vastaus]]="Kyllä"),1,0)</f>
        <v>0</v>
      </c>
      <c r="U43" s="121">
        <f>IF(AND(KysymyksetTaulukko[[#This Row],[Maksimipisteet]]=1,NOT(ISBLANK(KysymyksetTaulukko[[#This Row],[Vastaus]]))),1,0)</f>
        <v>0</v>
      </c>
      <c r="V43" s="123">
        <f>IF(OR(KysymyksetTaulukko[[#This Row],[Luokka + toimiala]]="Ei kuulu",KysymyksetTaulukko[[#This Row],[Vastaus]]="Ei koske",KysymyksetTaulukko[[#This Row],[Luokka]]="Extra",KysymyksetTaulukko[[#This Row],[Otsikkorivi]]="Kyllä"),0,1)</f>
        <v>0</v>
      </c>
    </row>
    <row r="44" spans="1:22" ht="30" x14ac:dyDescent="0.25">
      <c r="A44" s="3" t="s">
        <v>12</v>
      </c>
      <c r="B44" s="3" t="str">
        <f>IF(ISNUMBER(SEARCH("," &amp; LV!$B$10 &amp; ",", "," &amp; SUBSTITUTE(A44, " ", "")&amp; ",")),
  "Kuuluu",
  IF(AND(LV!$B$10&gt;=2,
      LV!$B$10&lt;=4,
      OR(ISNUMBER(SEARCH("," &amp;(LV!$B$10+1)&amp; ",", "," &amp; SUBSTITUTE(A44, " ", "")&amp; ",")),
        ISNUMBER(SEARCH("," &amp;(LV!$B$10+2)&amp; ",", "," &amp; SUBSTITUTE(A44, " ", "")&amp; ",")),
        ISNUMBER(SEARCH("," &amp;(LV!$B$10+3)&amp; ",", "," &amp; SUBSTITUTE(A44, " ", "")&amp; ",")),
        ISNUMBER(SEARCH("," &amp;(LV!$B$10+4)&amp; ",", "," &amp; SUBSTITUTE(A44, " ", "")&amp; ",")),
        ISNUMBER(SEARCH("," &amp;(LV!$B$10+5)&amp; ",", "," &amp; SUBSTITUTE(A44, " ", "")&amp; ",")))),
    "Extra",
    "Ei kuulu"))</f>
        <v>Ei kuulu</v>
      </c>
      <c r="C44" s="3" t="s">
        <v>17</v>
      </c>
      <c r="D44" s="3" t="str">
        <f>IF(ISNUMBER(SEARCH(LV!$I$5, Turvallinen_ja_toimintavarma!C44)), "K", "E")</f>
        <v>E</v>
      </c>
      <c r="E44" s="3" t="str">
        <f>IF(ISNUMBER(SEARCH(LV!$I$6, Turvallinen_ja_toimintavarma!$C44)), "K", "E")</f>
        <v>E</v>
      </c>
      <c r="F44" s="3" t="str">
        <f>IF(ISNUMBER(SEARCH(LV!$I$7, Turvallinen_ja_toimintavarma!$C44)), "K", "E")</f>
        <v>E</v>
      </c>
      <c r="G44" s="3" t="str">
        <f>IF(ISNUMBER(SEARCH(LV!$I$8, Turvallinen_ja_toimintavarma!$C44)), "K", "E")</f>
        <v>E</v>
      </c>
      <c r="H44" s="3" t="str">
        <f>IF(OR(KysymyksetTaulukko[[#This Row],[Toimiala A]]="K",KysymyksetTaulukko[[#This Row],[Toimiala B]]="K",KysymyksetTaulukko[[#This Row],[Toimiala C]]="K",KysymyksetTaulukko[[#This Row],[Toimiala D]]="K"),"Kuuluu","Ei kuulu")</f>
        <v>Ei kuulu</v>
      </c>
      <c r="I44" s="3" t="str">
        <f>IF(OR(KysymyksetTaulukko[[#This Row],[Luokka]]="Ei kuulu",KysymyksetTaulukko[[#This Row],[Toimiala-
kysymys]]="Ei kuulu"), "Ei kuulu", "Kuuluu")</f>
        <v>Ei kuulu</v>
      </c>
      <c r="J44" s="3" t="str">
        <f>IF(KysymyksetTaulukko[[#This Row],[Luokka + toimiala]]="Kuuluu","a) Oman vesilaitoksen kysymykset","b) Muut kysymykset")</f>
        <v>b) Muut kysymykset</v>
      </c>
      <c r="K44" s="125" t="s">
        <v>7</v>
      </c>
      <c r="L44" s="9" t="s">
        <v>56</v>
      </c>
      <c r="M44" s="61" t="str">
        <f>LEFT(KysymyksetTaulukko[[#This Row],[Alakategoria_]],2)</f>
        <v>3.</v>
      </c>
      <c r="N44" s="109" t="s">
        <v>11</v>
      </c>
      <c r="O44" s="70" t="s">
        <v>206</v>
      </c>
      <c r="P44" s="67" t="str">
        <f>IF(AND(KysymyksetTaulukko[[#This Row],[Luokka]]="Extra",KysymyksetTaulukko[[#This Row],[Luokka + toimiala]]="Kuuluu"),"Extra","")</f>
        <v/>
      </c>
      <c r="Q44" s="114"/>
      <c r="R44" s="64" t="s">
        <v>57</v>
      </c>
      <c r="S44" s="159"/>
      <c r="T44" s="123">
        <f>IF(AND(KysymyksetTaulukko[[#This Row],[Luokka + toimiala]]="Kuuluu",KysymyksetTaulukko[[#This Row],[Vastaus]]="Kyllä"),1,0)</f>
        <v>0</v>
      </c>
      <c r="U44" s="121">
        <f>IF(AND(KysymyksetTaulukko[[#This Row],[Maksimipisteet]]=1,NOT(ISBLANK(KysymyksetTaulukko[[#This Row],[Vastaus]]))),1,0)</f>
        <v>0</v>
      </c>
      <c r="V44" s="123">
        <f>IF(OR(KysymyksetTaulukko[[#This Row],[Luokka + toimiala]]="Ei kuulu",KysymyksetTaulukko[[#This Row],[Vastaus]]="Ei koske",KysymyksetTaulukko[[#This Row],[Luokka]]="Extra",KysymyksetTaulukko[[#This Row],[Otsikkorivi]]="Kyllä"),0,1)</f>
        <v>0</v>
      </c>
    </row>
    <row r="45" spans="1:22" ht="30" x14ac:dyDescent="0.25">
      <c r="A45" s="3" t="s">
        <v>12</v>
      </c>
      <c r="B45" s="3" t="str">
        <f>IF(ISNUMBER(SEARCH("," &amp; LV!$B$10 &amp; ",", "," &amp; SUBSTITUTE(A45, " ", "")&amp; ",")),
  "Kuuluu",
  IF(AND(LV!$B$10&gt;=2,
      LV!$B$10&lt;=4,
      OR(ISNUMBER(SEARCH("," &amp;(LV!$B$10+1)&amp; ",", "," &amp; SUBSTITUTE(A45, " ", "")&amp; ",")),
        ISNUMBER(SEARCH("," &amp;(LV!$B$10+2)&amp; ",", "," &amp; SUBSTITUTE(A45, " ", "")&amp; ",")),
        ISNUMBER(SEARCH("," &amp;(LV!$B$10+3)&amp; ",", "," &amp; SUBSTITUTE(A45, " ", "")&amp; ",")),
        ISNUMBER(SEARCH("," &amp;(LV!$B$10+4)&amp; ",", "," &amp; SUBSTITUTE(A45, " ", "")&amp; ",")),
        ISNUMBER(SEARCH("," &amp;(LV!$B$10+5)&amp; ",", "," &amp; SUBSTITUTE(A45, " ", "")&amp; ",")))),
    "Extra",
    "Ei kuulu"))</f>
        <v>Ei kuulu</v>
      </c>
      <c r="C45" s="3" t="s">
        <v>17</v>
      </c>
      <c r="D45" s="3" t="str">
        <f>IF(ISNUMBER(SEARCH(LV!$I$5, Turvallinen_ja_toimintavarma!C45)), "K", "E")</f>
        <v>E</v>
      </c>
      <c r="E45" s="3" t="str">
        <f>IF(ISNUMBER(SEARCH(LV!$I$6, Turvallinen_ja_toimintavarma!$C45)), "K", "E")</f>
        <v>E</v>
      </c>
      <c r="F45" s="3" t="str">
        <f>IF(ISNUMBER(SEARCH(LV!$I$7, Turvallinen_ja_toimintavarma!$C45)), "K", "E")</f>
        <v>E</v>
      </c>
      <c r="G45" s="3" t="str">
        <f>IF(ISNUMBER(SEARCH(LV!$I$8, Turvallinen_ja_toimintavarma!$C45)), "K", "E")</f>
        <v>E</v>
      </c>
      <c r="H45" s="3" t="str">
        <f>IF(OR(KysymyksetTaulukko[[#This Row],[Toimiala A]]="K",KysymyksetTaulukko[[#This Row],[Toimiala B]]="K",KysymyksetTaulukko[[#This Row],[Toimiala C]]="K",KysymyksetTaulukko[[#This Row],[Toimiala D]]="K"),"Kuuluu","Ei kuulu")</f>
        <v>Ei kuulu</v>
      </c>
      <c r="I45" s="3" t="str">
        <f>IF(OR(KysymyksetTaulukko[[#This Row],[Luokka]]="Ei kuulu",KysymyksetTaulukko[[#This Row],[Toimiala-
kysymys]]="Ei kuulu"), "Ei kuulu", "Kuuluu")</f>
        <v>Ei kuulu</v>
      </c>
      <c r="J45" s="3" t="str">
        <f>IF(KysymyksetTaulukko[[#This Row],[Luokka + toimiala]]="Kuuluu","a) Oman vesilaitoksen kysymykset","b) Muut kysymykset")</f>
        <v>b) Muut kysymykset</v>
      </c>
      <c r="K45" s="125" t="s">
        <v>7</v>
      </c>
      <c r="L45" s="9" t="s">
        <v>56</v>
      </c>
      <c r="M45" s="61" t="str">
        <f>LEFT(KysymyksetTaulukko[[#This Row],[Alakategoria_]],2)</f>
        <v>3.</v>
      </c>
      <c r="N45" s="109" t="s">
        <v>11</v>
      </c>
      <c r="O45" s="70" t="s">
        <v>206</v>
      </c>
      <c r="P45" s="67" t="str">
        <f>IF(AND(KysymyksetTaulukko[[#This Row],[Luokka]]="Extra",KysymyksetTaulukko[[#This Row],[Luokka + toimiala]]="Kuuluu"),"Extra","")</f>
        <v/>
      </c>
      <c r="Q45" s="114"/>
      <c r="R45" s="64" t="s">
        <v>58</v>
      </c>
      <c r="S45" s="159"/>
      <c r="T45" s="123">
        <f>IF(AND(KysymyksetTaulukko[[#This Row],[Luokka + toimiala]]="Kuuluu",KysymyksetTaulukko[[#This Row],[Vastaus]]="Kyllä"),1,0)</f>
        <v>0</v>
      </c>
      <c r="U45" s="121">
        <f>IF(AND(KysymyksetTaulukko[[#This Row],[Maksimipisteet]]=1,NOT(ISBLANK(KysymyksetTaulukko[[#This Row],[Vastaus]]))),1,0)</f>
        <v>0</v>
      </c>
      <c r="V45" s="123">
        <f>IF(OR(KysymyksetTaulukko[[#This Row],[Luokka + toimiala]]="Ei kuulu",KysymyksetTaulukko[[#This Row],[Vastaus]]="Ei koske",KysymyksetTaulukko[[#This Row],[Luokka]]="Extra",KysymyksetTaulukko[[#This Row],[Otsikkorivi]]="Kyllä"),0,1)</f>
        <v>0</v>
      </c>
    </row>
    <row r="46" spans="1:22" ht="30" x14ac:dyDescent="0.25">
      <c r="A46" s="3" t="s">
        <v>12</v>
      </c>
      <c r="B46" s="3" t="str">
        <f>IF(ISNUMBER(SEARCH("," &amp; LV!$B$10 &amp; ",", "," &amp; SUBSTITUTE(A46, " ", "")&amp; ",")),
  "Kuuluu",
  IF(AND(LV!$B$10&gt;=2,
      LV!$B$10&lt;=4,
      OR(ISNUMBER(SEARCH("," &amp;(LV!$B$10+1)&amp; ",", "," &amp; SUBSTITUTE(A46, " ", "")&amp; ",")),
        ISNUMBER(SEARCH("," &amp;(LV!$B$10+2)&amp; ",", "," &amp; SUBSTITUTE(A46, " ", "")&amp; ",")),
        ISNUMBER(SEARCH("," &amp;(LV!$B$10+3)&amp; ",", "," &amp; SUBSTITUTE(A46, " ", "")&amp; ",")),
        ISNUMBER(SEARCH("," &amp;(LV!$B$10+4)&amp; ",", "," &amp; SUBSTITUTE(A46, " ", "")&amp; ",")),
        ISNUMBER(SEARCH("," &amp;(LV!$B$10+5)&amp; ",", "," &amp; SUBSTITUTE(A46, " ", "")&amp; ",")))),
    "Extra",
    "Ei kuulu"))</f>
        <v>Ei kuulu</v>
      </c>
      <c r="C46" s="3" t="s">
        <v>17</v>
      </c>
      <c r="D46" s="3" t="str">
        <f>IF(ISNUMBER(SEARCH(LV!$I$5, Turvallinen_ja_toimintavarma!C46)), "K", "E")</f>
        <v>E</v>
      </c>
      <c r="E46" s="3" t="str">
        <f>IF(ISNUMBER(SEARCH(LV!$I$6, Turvallinen_ja_toimintavarma!$C46)), "K", "E")</f>
        <v>E</v>
      </c>
      <c r="F46" s="3" t="str">
        <f>IF(ISNUMBER(SEARCH(LV!$I$7, Turvallinen_ja_toimintavarma!$C46)), "K", "E")</f>
        <v>E</v>
      </c>
      <c r="G46" s="3" t="str">
        <f>IF(ISNUMBER(SEARCH(LV!$I$8, Turvallinen_ja_toimintavarma!$C46)), "K", "E")</f>
        <v>E</v>
      </c>
      <c r="H46" s="3" t="str">
        <f>IF(OR(KysymyksetTaulukko[[#This Row],[Toimiala A]]="K",KysymyksetTaulukko[[#This Row],[Toimiala B]]="K",KysymyksetTaulukko[[#This Row],[Toimiala C]]="K",KysymyksetTaulukko[[#This Row],[Toimiala D]]="K"),"Kuuluu","Ei kuulu")</f>
        <v>Ei kuulu</v>
      </c>
      <c r="I46" s="3" t="str">
        <f>IF(OR(KysymyksetTaulukko[[#This Row],[Luokka]]="Ei kuulu",KysymyksetTaulukko[[#This Row],[Toimiala-
kysymys]]="Ei kuulu"), "Ei kuulu", "Kuuluu")</f>
        <v>Ei kuulu</v>
      </c>
      <c r="J46" s="3" t="str">
        <f>IF(KysymyksetTaulukko[[#This Row],[Luokka + toimiala]]="Kuuluu","a) Oman vesilaitoksen kysymykset","b) Muut kysymykset")</f>
        <v>b) Muut kysymykset</v>
      </c>
      <c r="K46" s="125" t="s">
        <v>7</v>
      </c>
      <c r="L46" s="9" t="s">
        <v>56</v>
      </c>
      <c r="M46" s="61" t="str">
        <f>LEFT(KysymyksetTaulukko[[#This Row],[Alakategoria_]],2)</f>
        <v>3.</v>
      </c>
      <c r="N46" s="109" t="s">
        <v>11</v>
      </c>
      <c r="O46" s="70" t="s">
        <v>206</v>
      </c>
      <c r="P46" s="67" t="str">
        <f>IF(AND(KysymyksetTaulukko[[#This Row],[Luokka]]="Extra",KysymyksetTaulukko[[#This Row],[Luokka + toimiala]]="Kuuluu"),"Extra","")</f>
        <v/>
      </c>
      <c r="Q46" s="114"/>
      <c r="R46" s="64" t="s">
        <v>59</v>
      </c>
      <c r="S46" s="159"/>
      <c r="T46" s="123">
        <f>IF(AND(KysymyksetTaulukko[[#This Row],[Luokka + toimiala]]="Kuuluu",KysymyksetTaulukko[[#This Row],[Vastaus]]="Kyllä"),1,0)</f>
        <v>0</v>
      </c>
      <c r="U46" s="121">
        <f>IF(AND(KysymyksetTaulukko[[#This Row],[Maksimipisteet]]=1,NOT(ISBLANK(KysymyksetTaulukko[[#This Row],[Vastaus]]))),1,0)</f>
        <v>0</v>
      </c>
      <c r="V46" s="123">
        <f>IF(OR(KysymyksetTaulukko[[#This Row],[Luokka + toimiala]]="Ei kuulu",KysymyksetTaulukko[[#This Row],[Vastaus]]="Ei koske",KysymyksetTaulukko[[#This Row],[Luokka]]="Extra",KysymyksetTaulukko[[#This Row],[Otsikkorivi]]="Kyllä"),0,1)</f>
        <v>0</v>
      </c>
    </row>
    <row r="47" spans="1:22" ht="28.5" x14ac:dyDescent="0.25">
      <c r="A47" s="3" t="s">
        <v>12</v>
      </c>
      <c r="B47" s="3" t="str">
        <f>IF(ISNUMBER(SEARCH("," &amp; LV!$B$10 &amp; ",", "," &amp; SUBSTITUTE(A47, " ", "")&amp; ",")),
  "Kuuluu",
  IF(AND(LV!$B$10&gt;=2,
      LV!$B$10&lt;=4,
      OR(ISNUMBER(SEARCH("," &amp;(LV!$B$10+1)&amp; ",", "," &amp; SUBSTITUTE(A47, " ", "")&amp; ",")),
        ISNUMBER(SEARCH("," &amp;(LV!$B$10+2)&amp; ",", "," &amp; SUBSTITUTE(A47, " ", "")&amp; ",")),
        ISNUMBER(SEARCH("," &amp;(LV!$B$10+3)&amp; ",", "," &amp; SUBSTITUTE(A47, " ", "")&amp; ",")),
        ISNUMBER(SEARCH("," &amp;(LV!$B$10+4)&amp; ",", "," &amp; SUBSTITUTE(A47, " ", "")&amp; ",")),
        ISNUMBER(SEARCH("," &amp;(LV!$B$10+5)&amp; ",", "," &amp; SUBSTITUTE(A47, " ", "")&amp; ",")))),
    "Extra",
    "Ei kuulu"))</f>
        <v>Ei kuulu</v>
      </c>
      <c r="C47" s="3" t="s">
        <v>17</v>
      </c>
      <c r="D47" s="3" t="str">
        <f>IF(ISNUMBER(SEARCH(LV!$I$5, Turvallinen_ja_toimintavarma!C47)), "K", "E")</f>
        <v>E</v>
      </c>
      <c r="E47" s="3" t="str">
        <f>IF(ISNUMBER(SEARCH(LV!$I$6, Turvallinen_ja_toimintavarma!$C47)), "K", "E")</f>
        <v>E</v>
      </c>
      <c r="F47" s="3" t="str">
        <f>IF(ISNUMBER(SEARCH(LV!$I$7, Turvallinen_ja_toimintavarma!$C47)), "K", "E")</f>
        <v>E</v>
      </c>
      <c r="G47" s="3" t="str">
        <f>IF(ISNUMBER(SEARCH(LV!$I$8, Turvallinen_ja_toimintavarma!$C47)), "K", "E")</f>
        <v>E</v>
      </c>
      <c r="H47" s="3" t="str">
        <f>IF(OR(KysymyksetTaulukko[[#This Row],[Toimiala A]]="K",KysymyksetTaulukko[[#This Row],[Toimiala B]]="K",KysymyksetTaulukko[[#This Row],[Toimiala C]]="K",KysymyksetTaulukko[[#This Row],[Toimiala D]]="K"),"Kuuluu","Ei kuulu")</f>
        <v>Ei kuulu</v>
      </c>
      <c r="I47" s="3" t="str">
        <f>IF(OR(KysymyksetTaulukko[[#This Row],[Luokka]]="Ei kuulu",KysymyksetTaulukko[[#This Row],[Toimiala-
kysymys]]="Ei kuulu"), "Ei kuulu", "Kuuluu")</f>
        <v>Ei kuulu</v>
      </c>
      <c r="J47" s="3" t="str">
        <f>IF(KysymyksetTaulukko[[#This Row],[Luokka + toimiala]]="Kuuluu","a) Oman vesilaitoksen kysymykset","b) Muut kysymykset")</f>
        <v>b) Muut kysymykset</v>
      </c>
      <c r="K47" s="125" t="s">
        <v>7</v>
      </c>
      <c r="L47" s="9" t="s">
        <v>56</v>
      </c>
      <c r="M47" s="61" t="str">
        <f>LEFT(KysymyksetTaulukko[[#This Row],[Alakategoria_]],2)</f>
        <v>3.</v>
      </c>
      <c r="N47" s="109" t="s">
        <v>11</v>
      </c>
      <c r="O47" s="70" t="s">
        <v>206</v>
      </c>
      <c r="P47" s="67" t="str">
        <f>IF(AND(KysymyksetTaulukko[[#This Row],[Luokka]]="Extra",KysymyksetTaulukko[[#This Row],[Luokka + toimiala]]="Kuuluu"),"Extra","")</f>
        <v/>
      </c>
      <c r="Q47" s="114"/>
      <c r="R47" s="64" t="s">
        <v>60</v>
      </c>
      <c r="S47" s="159"/>
      <c r="T47" s="123">
        <f>IF(AND(KysymyksetTaulukko[[#This Row],[Luokka + toimiala]]="Kuuluu",KysymyksetTaulukko[[#This Row],[Vastaus]]="Kyllä"),1,0)</f>
        <v>0</v>
      </c>
      <c r="U47" s="121">
        <f>IF(AND(KysymyksetTaulukko[[#This Row],[Maksimipisteet]]=1,NOT(ISBLANK(KysymyksetTaulukko[[#This Row],[Vastaus]]))),1,0)</f>
        <v>0</v>
      </c>
      <c r="V47" s="123">
        <f>IF(OR(KysymyksetTaulukko[[#This Row],[Luokka + toimiala]]="Ei kuulu",KysymyksetTaulukko[[#This Row],[Vastaus]]="Ei koske",KysymyksetTaulukko[[#This Row],[Luokka]]="Extra",KysymyksetTaulukko[[#This Row],[Otsikkorivi]]="Kyllä"),0,1)</f>
        <v>0</v>
      </c>
    </row>
    <row r="48" spans="1:22" ht="45" x14ac:dyDescent="0.25">
      <c r="A48" s="3" t="s">
        <v>12</v>
      </c>
      <c r="B48" s="3" t="str">
        <f>IF(ISNUMBER(SEARCH("," &amp; LV!$B$10 &amp; ",", "," &amp; SUBSTITUTE(A48, " ", "")&amp; ",")),
  "Kuuluu",
  IF(AND(LV!$B$10&gt;=2,
      LV!$B$10&lt;=4,
      OR(ISNUMBER(SEARCH("," &amp;(LV!$B$10+1)&amp; ",", "," &amp; SUBSTITUTE(A48, " ", "")&amp; ",")),
        ISNUMBER(SEARCH("," &amp;(LV!$B$10+2)&amp; ",", "," &amp; SUBSTITUTE(A48, " ", "")&amp; ",")),
        ISNUMBER(SEARCH("," &amp;(LV!$B$10+3)&amp; ",", "," &amp; SUBSTITUTE(A48, " ", "")&amp; ",")),
        ISNUMBER(SEARCH("," &amp;(LV!$B$10+4)&amp; ",", "," &amp; SUBSTITUTE(A48, " ", "")&amp; ",")),
        ISNUMBER(SEARCH("," &amp;(LV!$B$10+5)&amp; ",", "," &amp; SUBSTITUTE(A48, " ", "")&amp; ",")))),
    "Extra",
    "Ei kuulu"))</f>
        <v>Ei kuulu</v>
      </c>
      <c r="C48" s="3" t="s">
        <v>17</v>
      </c>
      <c r="D48" s="3" t="str">
        <f>IF(ISNUMBER(SEARCH(LV!$I$5, Turvallinen_ja_toimintavarma!C48)), "K", "E")</f>
        <v>E</v>
      </c>
      <c r="E48" s="3" t="str">
        <f>IF(ISNUMBER(SEARCH(LV!$I$6, Turvallinen_ja_toimintavarma!$C48)), "K", "E")</f>
        <v>E</v>
      </c>
      <c r="F48" s="3" t="str">
        <f>IF(ISNUMBER(SEARCH(LV!$I$7, Turvallinen_ja_toimintavarma!$C48)), "K", "E")</f>
        <v>E</v>
      </c>
      <c r="G48" s="3" t="str">
        <f>IF(ISNUMBER(SEARCH(LV!$I$8, Turvallinen_ja_toimintavarma!$C48)), "K", "E")</f>
        <v>E</v>
      </c>
      <c r="H48" s="3" t="str">
        <f>IF(OR(KysymyksetTaulukko[[#This Row],[Toimiala A]]="K",KysymyksetTaulukko[[#This Row],[Toimiala B]]="K",KysymyksetTaulukko[[#This Row],[Toimiala C]]="K",KysymyksetTaulukko[[#This Row],[Toimiala D]]="K"),"Kuuluu","Ei kuulu")</f>
        <v>Ei kuulu</v>
      </c>
      <c r="I48" s="3" t="str">
        <f>IF(OR(KysymyksetTaulukko[[#This Row],[Luokka]]="Ei kuulu",KysymyksetTaulukko[[#This Row],[Toimiala-
kysymys]]="Ei kuulu"), "Ei kuulu", "Kuuluu")</f>
        <v>Ei kuulu</v>
      </c>
      <c r="J48" s="3" t="str">
        <f>IF(KysymyksetTaulukko[[#This Row],[Luokka + toimiala]]="Kuuluu","a) Oman vesilaitoksen kysymykset","b) Muut kysymykset")</f>
        <v>b) Muut kysymykset</v>
      </c>
      <c r="K48" s="125" t="s">
        <v>7</v>
      </c>
      <c r="L48" s="9" t="s">
        <v>56</v>
      </c>
      <c r="M48" s="61" t="str">
        <f>LEFT(KysymyksetTaulukko[[#This Row],[Alakategoria_]],2)</f>
        <v>3.</v>
      </c>
      <c r="N48" s="109" t="s">
        <v>11</v>
      </c>
      <c r="O48" s="70" t="s">
        <v>206</v>
      </c>
      <c r="P48" s="67" t="str">
        <f>IF(AND(KysymyksetTaulukko[[#This Row],[Luokka]]="Extra",KysymyksetTaulukko[[#This Row],[Luokka + toimiala]]="Kuuluu"),"Extra","")</f>
        <v/>
      </c>
      <c r="Q48" s="114"/>
      <c r="R48" s="64" t="s">
        <v>61</v>
      </c>
      <c r="S48" s="159"/>
      <c r="T48" s="123">
        <f>IF(AND(KysymyksetTaulukko[[#This Row],[Luokka + toimiala]]="Kuuluu",KysymyksetTaulukko[[#This Row],[Vastaus]]="Kyllä"),1,0)</f>
        <v>0</v>
      </c>
      <c r="U48" s="121">
        <f>IF(AND(KysymyksetTaulukko[[#This Row],[Maksimipisteet]]=1,NOT(ISBLANK(KysymyksetTaulukko[[#This Row],[Vastaus]]))),1,0)</f>
        <v>0</v>
      </c>
      <c r="V48" s="123">
        <f>IF(OR(KysymyksetTaulukko[[#This Row],[Luokka + toimiala]]="Ei kuulu",KysymyksetTaulukko[[#This Row],[Vastaus]]="Ei koske",KysymyksetTaulukko[[#This Row],[Luokka]]="Extra",KysymyksetTaulukko[[#This Row],[Otsikkorivi]]="Kyllä"),0,1)</f>
        <v>0</v>
      </c>
    </row>
    <row r="49" spans="1:22" ht="28.5" x14ac:dyDescent="0.25">
      <c r="A49" s="3" t="s">
        <v>12</v>
      </c>
      <c r="B49" s="3" t="str">
        <f>IF(ISNUMBER(SEARCH("," &amp; LV!$B$10 &amp; ",", "," &amp; SUBSTITUTE(A49, " ", "")&amp; ",")),
  "Kuuluu",
  IF(AND(LV!$B$10&gt;=2,
      LV!$B$10&lt;=4,
      OR(ISNUMBER(SEARCH("," &amp;(LV!$B$10+1)&amp; ",", "," &amp; SUBSTITUTE(A49, " ", "")&amp; ",")),
        ISNUMBER(SEARCH("," &amp;(LV!$B$10+2)&amp; ",", "," &amp; SUBSTITUTE(A49, " ", "")&amp; ",")),
        ISNUMBER(SEARCH("," &amp;(LV!$B$10+3)&amp; ",", "," &amp; SUBSTITUTE(A49, " ", "")&amp; ",")),
        ISNUMBER(SEARCH("," &amp;(LV!$B$10+4)&amp; ",", "," &amp; SUBSTITUTE(A49, " ", "")&amp; ",")),
        ISNUMBER(SEARCH("," &amp;(LV!$B$10+5)&amp; ",", "," &amp; SUBSTITUTE(A49, " ", "")&amp; ",")))),
    "Extra",
    "Ei kuulu"))</f>
        <v>Ei kuulu</v>
      </c>
      <c r="C49" s="3" t="s">
        <v>17</v>
      </c>
      <c r="D49" s="3" t="str">
        <f>IF(ISNUMBER(SEARCH(LV!$I$5, Turvallinen_ja_toimintavarma!C49)), "K", "E")</f>
        <v>E</v>
      </c>
      <c r="E49" s="3" t="str">
        <f>IF(ISNUMBER(SEARCH(LV!$I$6, Turvallinen_ja_toimintavarma!$C49)), "K", "E")</f>
        <v>E</v>
      </c>
      <c r="F49" s="3" t="str">
        <f>IF(ISNUMBER(SEARCH(LV!$I$7, Turvallinen_ja_toimintavarma!$C49)), "K", "E")</f>
        <v>E</v>
      </c>
      <c r="G49" s="3" t="str">
        <f>IF(ISNUMBER(SEARCH(LV!$I$8, Turvallinen_ja_toimintavarma!$C49)), "K", "E")</f>
        <v>E</v>
      </c>
      <c r="H49" s="3" t="str">
        <f>IF(OR(KysymyksetTaulukko[[#This Row],[Toimiala A]]="K",KysymyksetTaulukko[[#This Row],[Toimiala B]]="K",KysymyksetTaulukko[[#This Row],[Toimiala C]]="K",KysymyksetTaulukko[[#This Row],[Toimiala D]]="K"),"Kuuluu","Ei kuulu")</f>
        <v>Ei kuulu</v>
      </c>
      <c r="I49" s="3" t="str">
        <f>IF(OR(KysymyksetTaulukko[[#This Row],[Luokka]]="Ei kuulu",KysymyksetTaulukko[[#This Row],[Toimiala-
kysymys]]="Ei kuulu"), "Ei kuulu", "Kuuluu")</f>
        <v>Ei kuulu</v>
      </c>
      <c r="J49" s="3" t="str">
        <f>IF(KysymyksetTaulukko[[#This Row],[Luokka + toimiala]]="Kuuluu","a) Oman vesilaitoksen kysymykset","b) Muut kysymykset")</f>
        <v>b) Muut kysymykset</v>
      </c>
      <c r="K49" s="125" t="s">
        <v>7</v>
      </c>
      <c r="L49" s="9" t="s">
        <v>56</v>
      </c>
      <c r="M49" s="61" t="str">
        <f>LEFT(KysymyksetTaulukko[[#This Row],[Alakategoria_]],2)</f>
        <v>3.</v>
      </c>
      <c r="N49" s="109" t="s">
        <v>11</v>
      </c>
      <c r="O49" s="70" t="s">
        <v>206</v>
      </c>
      <c r="P49" s="67" t="str">
        <f>IF(AND(KysymyksetTaulukko[[#This Row],[Luokka]]="Extra",KysymyksetTaulukko[[#This Row],[Luokka + toimiala]]="Kuuluu"),"Extra","")</f>
        <v/>
      </c>
      <c r="Q49" s="114"/>
      <c r="R49" s="64" t="s">
        <v>62</v>
      </c>
      <c r="S49" s="159"/>
      <c r="T49" s="123">
        <f>IF(AND(KysymyksetTaulukko[[#This Row],[Luokka + toimiala]]="Kuuluu",KysymyksetTaulukko[[#This Row],[Vastaus]]="Kyllä"),1,0)</f>
        <v>0</v>
      </c>
      <c r="U49" s="121">
        <f>IF(AND(KysymyksetTaulukko[[#This Row],[Maksimipisteet]]=1,NOT(ISBLANK(KysymyksetTaulukko[[#This Row],[Vastaus]]))),1,0)</f>
        <v>0</v>
      </c>
      <c r="V49" s="123">
        <f>IF(OR(KysymyksetTaulukko[[#This Row],[Luokka + toimiala]]="Ei kuulu",KysymyksetTaulukko[[#This Row],[Vastaus]]="Ei koske",KysymyksetTaulukko[[#This Row],[Luokka]]="Extra",KysymyksetTaulukko[[#This Row],[Otsikkorivi]]="Kyllä"),0,1)</f>
        <v>0</v>
      </c>
    </row>
    <row r="50" spans="1:22" ht="30" x14ac:dyDescent="0.25">
      <c r="A50" s="3" t="s">
        <v>12</v>
      </c>
      <c r="B50" s="3" t="str">
        <f>IF(ISNUMBER(SEARCH("," &amp; LV!$B$10 &amp; ",", "," &amp; SUBSTITUTE(A50, " ", "")&amp; ",")),
  "Kuuluu",
  IF(AND(LV!$B$10&gt;=2,
      LV!$B$10&lt;=4,
      OR(ISNUMBER(SEARCH("," &amp;(LV!$B$10+1)&amp; ",", "," &amp; SUBSTITUTE(A50, " ", "")&amp; ",")),
        ISNUMBER(SEARCH("," &amp;(LV!$B$10+2)&amp; ",", "," &amp; SUBSTITUTE(A50, " ", "")&amp; ",")),
        ISNUMBER(SEARCH("," &amp;(LV!$B$10+3)&amp; ",", "," &amp; SUBSTITUTE(A50, " ", "")&amp; ",")),
        ISNUMBER(SEARCH("," &amp;(LV!$B$10+4)&amp; ",", "," &amp; SUBSTITUTE(A50, " ", "")&amp; ",")),
        ISNUMBER(SEARCH("," &amp;(LV!$B$10+5)&amp; ",", "," &amp; SUBSTITUTE(A50, " ", "")&amp; ",")))),
    "Extra",
    "Ei kuulu"))</f>
        <v>Ei kuulu</v>
      </c>
      <c r="C50" s="3" t="s">
        <v>17</v>
      </c>
      <c r="D50" s="3" t="str">
        <f>IF(ISNUMBER(SEARCH(LV!$I$5, Turvallinen_ja_toimintavarma!C50)), "K", "E")</f>
        <v>E</v>
      </c>
      <c r="E50" s="3" t="str">
        <f>IF(ISNUMBER(SEARCH(LV!$I$6, Turvallinen_ja_toimintavarma!$C50)), "K", "E")</f>
        <v>E</v>
      </c>
      <c r="F50" s="3" t="str">
        <f>IF(ISNUMBER(SEARCH(LV!$I$7, Turvallinen_ja_toimintavarma!$C50)), "K", "E")</f>
        <v>E</v>
      </c>
      <c r="G50" s="3" t="str">
        <f>IF(ISNUMBER(SEARCH(LV!$I$8, Turvallinen_ja_toimintavarma!$C50)), "K", "E")</f>
        <v>E</v>
      </c>
      <c r="H50" s="3" t="str">
        <f>IF(OR(KysymyksetTaulukko[[#This Row],[Toimiala A]]="K",KysymyksetTaulukko[[#This Row],[Toimiala B]]="K",KysymyksetTaulukko[[#This Row],[Toimiala C]]="K",KysymyksetTaulukko[[#This Row],[Toimiala D]]="K"),"Kuuluu","Ei kuulu")</f>
        <v>Ei kuulu</v>
      </c>
      <c r="I50" s="3" t="str">
        <f>IF(OR(KysymyksetTaulukko[[#This Row],[Luokka]]="Ei kuulu",KysymyksetTaulukko[[#This Row],[Toimiala-
kysymys]]="Ei kuulu"), "Ei kuulu", "Kuuluu")</f>
        <v>Ei kuulu</v>
      </c>
      <c r="J50" s="3" t="str">
        <f>IF(KysymyksetTaulukko[[#This Row],[Luokka + toimiala]]="Kuuluu","a) Oman vesilaitoksen kysymykset","b) Muut kysymykset")</f>
        <v>b) Muut kysymykset</v>
      </c>
      <c r="K50" s="125" t="s">
        <v>7</v>
      </c>
      <c r="L50" s="9" t="s">
        <v>56</v>
      </c>
      <c r="M50" s="61" t="str">
        <f>LEFT(KysymyksetTaulukko[[#This Row],[Alakategoria_]],2)</f>
        <v>3.</v>
      </c>
      <c r="N50" s="109" t="s">
        <v>11</v>
      </c>
      <c r="O50" s="70" t="s">
        <v>206</v>
      </c>
      <c r="P50" s="67" t="str">
        <f>IF(AND(KysymyksetTaulukko[[#This Row],[Luokka]]="Extra",KysymyksetTaulukko[[#This Row],[Luokka + toimiala]]="Kuuluu"),"Extra","")</f>
        <v/>
      </c>
      <c r="Q50" s="114"/>
      <c r="R50" s="64" t="s">
        <v>63</v>
      </c>
      <c r="S50" s="159"/>
      <c r="T50" s="123">
        <f>IF(AND(KysymyksetTaulukko[[#This Row],[Luokka + toimiala]]="Kuuluu",KysymyksetTaulukko[[#This Row],[Vastaus]]="Kyllä"),1,0)</f>
        <v>0</v>
      </c>
      <c r="U50" s="121">
        <f>IF(AND(KysymyksetTaulukko[[#This Row],[Maksimipisteet]]=1,NOT(ISBLANK(KysymyksetTaulukko[[#This Row],[Vastaus]]))),1,0)</f>
        <v>0</v>
      </c>
      <c r="V50" s="123">
        <f>IF(OR(KysymyksetTaulukko[[#This Row],[Luokka + toimiala]]="Ei kuulu",KysymyksetTaulukko[[#This Row],[Vastaus]]="Ei koske",KysymyksetTaulukko[[#This Row],[Luokka]]="Extra",KysymyksetTaulukko[[#This Row],[Otsikkorivi]]="Kyllä"),0,1)</f>
        <v>0</v>
      </c>
    </row>
    <row r="51" spans="1:22" ht="30" x14ac:dyDescent="0.25">
      <c r="A51" s="3" t="s">
        <v>12</v>
      </c>
      <c r="B51" s="3" t="str">
        <f>IF(ISNUMBER(SEARCH("," &amp; LV!$B$10 &amp; ",", "," &amp; SUBSTITUTE(A51, " ", "")&amp; ",")),
  "Kuuluu",
  IF(AND(LV!$B$10&gt;=2,
      LV!$B$10&lt;=4,
      OR(ISNUMBER(SEARCH("," &amp;(LV!$B$10+1)&amp; ",", "," &amp; SUBSTITUTE(A51, " ", "")&amp; ",")),
        ISNUMBER(SEARCH("," &amp;(LV!$B$10+2)&amp; ",", "," &amp; SUBSTITUTE(A51, " ", "")&amp; ",")),
        ISNUMBER(SEARCH("," &amp;(LV!$B$10+3)&amp; ",", "," &amp; SUBSTITUTE(A51, " ", "")&amp; ",")),
        ISNUMBER(SEARCH("," &amp;(LV!$B$10+4)&amp; ",", "," &amp; SUBSTITUTE(A51, " ", "")&amp; ",")),
        ISNUMBER(SEARCH("," &amp;(LV!$B$10+5)&amp; ",", "," &amp; SUBSTITUTE(A51, " ", "")&amp; ",")))),
    "Extra",
    "Ei kuulu"))</f>
        <v>Ei kuulu</v>
      </c>
      <c r="C51" s="3" t="s">
        <v>28</v>
      </c>
      <c r="D51" s="3" t="str">
        <f>IF(ISNUMBER(SEARCH(LV!$I$5, Turvallinen_ja_toimintavarma!C51)), "K", "E")</f>
        <v>E</v>
      </c>
      <c r="E51" s="3" t="str">
        <f>IF(ISNUMBER(SEARCH(LV!$I$6, Turvallinen_ja_toimintavarma!$C51)), "K", "E")</f>
        <v>E</v>
      </c>
      <c r="F51" s="3" t="str">
        <f>IF(ISNUMBER(SEARCH(LV!$I$7, Turvallinen_ja_toimintavarma!$C51)), "K", "E")</f>
        <v>E</v>
      </c>
      <c r="G51" s="3" t="str">
        <f>IF(ISNUMBER(SEARCH(LV!$I$8, Turvallinen_ja_toimintavarma!$C51)), "K", "E")</f>
        <v>E</v>
      </c>
      <c r="H51" s="3" t="str">
        <f>IF(OR(KysymyksetTaulukko[[#This Row],[Toimiala A]]="K",KysymyksetTaulukko[[#This Row],[Toimiala B]]="K",KysymyksetTaulukko[[#This Row],[Toimiala C]]="K",KysymyksetTaulukko[[#This Row],[Toimiala D]]="K"),"Kuuluu","Ei kuulu")</f>
        <v>Ei kuulu</v>
      </c>
      <c r="I51" s="3" t="str">
        <f>IF(OR(KysymyksetTaulukko[[#This Row],[Luokka]]="Ei kuulu",KysymyksetTaulukko[[#This Row],[Toimiala-
kysymys]]="Ei kuulu"), "Ei kuulu", "Kuuluu")</f>
        <v>Ei kuulu</v>
      </c>
      <c r="J51" s="3" t="str">
        <f>IF(KysymyksetTaulukko[[#This Row],[Luokka + toimiala]]="Kuuluu","a) Oman vesilaitoksen kysymykset","b) Muut kysymykset")</f>
        <v>b) Muut kysymykset</v>
      </c>
      <c r="K51" s="125" t="s">
        <v>7</v>
      </c>
      <c r="L51" s="9" t="s">
        <v>56</v>
      </c>
      <c r="M51" s="61" t="str">
        <f>LEFT(KysymyksetTaulukko[[#This Row],[Alakategoria_]],2)</f>
        <v>3.</v>
      </c>
      <c r="N51" s="109" t="s">
        <v>11</v>
      </c>
      <c r="O51" s="70" t="s">
        <v>206</v>
      </c>
      <c r="P51" s="67" t="str">
        <f>IF(AND(KysymyksetTaulukko[[#This Row],[Luokka]]="Extra",KysymyksetTaulukko[[#This Row],[Luokka + toimiala]]="Kuuluu"),"Extra","")</f>
        <v/>
      </c>
      <c r="Q51" s="114"/>
      <c r="R51" s="64" t="s">
        <v>64</v>
      </c>
      <c r="S51" s="159"/>
      <c r="T51" s="123">
        <f>IF(AND(KysymyksetTaulukko[[#This Row],[Luokka + toimiala]]="Kuuluu",KysymyksetTaulukko[[#This Row],[Vastaus]]="Kyllä"),1,0)</f>
        <v>0</v>
      </c>
      <c r="U51" s="121">
        <f>IF(AND(KysymyksetTaulukko[[#This Row],[Maksimipisteet]]=1,NOT(ISBLANK(KysymyksetTaulukko[[#This Row],[Vastaus]]))),1,0)</f>
        <v>0</v>
      </c>
      <c r="V51" s="123">
        <f>IF(OR(KysymyksetTaulukko[[#This Row],[Luokka + toimiala]]="Ei kuulu",KysymyksetTaulukko[[#This Row],[Vastaus]]="Ei koske",KysymyksetTaulukko[[#This Row],[Luokka]]="Extra",KysymyksetTaulukko[[#This Row],[Otsikkorivi]]="Kyllä"),0,1)</f>
        <v>0</v>
      </c>
    </row>
    <row r="52" spans="1:22" ht="28.5" x14ac:dyDescent="0.25">
      <c r="A52" s="3" t="s">
        <v>12</v>
      </c>
      <c r="B52" s="3" t="str">
        <f>IF(ISNUMBER(SEARCH("," &amp; LV!$B$10 &amp; ",", "," &amp; SUBSTITUTE(A52, " ", "")&amp; ",")),
  "Kuuluu",
  IF(AND(LV!$B$10&gt;=2,
      LV!$B$10&lt;=4,
      OR(ISNUMBER(SEARCH("," &amp;(LV!$B$10+1)&amp; ",", "," &amp; SUBSTITUTE(A52, " ", "")&amp; ",")),
        ISNUMBER(SEARCH("," &amp;(LV!$B$10+2)&amp; ",", "," &amp; SUBSTITUTE(A52, " ", "")&amp; ",")),
        ISNUMBER(SEARCH("," &amp;(LV!$B$10+3)&amp; ",", "," &amp; SUBSTITUTE(A52, " ", "")&amp; ",")),
        ISNUMBER(SEARCH("," &amp;(LV!$B$10+4)&amp; ",", "," &amp; SUBSTITUTE(A52, " ", "")&amp; ",")),
        ISNUMBER(SEARCH("," &amp;(LV!$B$10+5)&amp; ",", "," &amp; SUBSTITUTE(A52, " ", "")&amp; ",")))),
    "Extra",
    "Ei kuulu"))</f>
        <v>Ei kuulu</v>
      </c>
      <c r="C52" s="3" t="s">
        <v>17</v>
      </c>
      <c r="D52" s="3" t="str">
        <f>IF(ISNUMBER(SEARCH(LV!$I$5, Turvallinen_ja_toimintavarma!C52)), "K", "E")</f>
        <v>E</v>
      </c>
      <c r="E52" s="3" t="str">
        <f>IF(ISNUMBER(SEARCH(LV!$I$6, Turvallinen_ja_toimintavarma!$C52)), "K", "E")</f>
        <v>E</v>
      </c>
      <c r="F52" s="3" t="str">
        <f>IF(ISNUMBER(SEARCH(LV!$I$7, Turvallinen_ja_toimintavarma!$C52)), "K", "E")</f>
        <v>E</v>
      </c>
      <c r="G52" s="3" t="str">
        <f>IF(ISNUMBER(SEARCH(LV!$I$8, Turvallinen_ja_toimintavarma!$C52)), "K", "E")</f>
        <v>E</v>
      </c>
      <c r="H52" s="3" t="str">
        <f>IF(OR(KysymyksetTaulukko[[#This Row],[Toimiala A]]="K",KysymyksetTaulukko[[#This Row],[Toimiala B]]="K",KysymyksetTaulukko[[#This Row],[Toimiala C]]="K",KysymyksetTaulukko[[#This Row],[Toimiala D]]="K"),"Kuuluu","Ei kuulu")</f>
        <v>Ei kuulu</v>
      </c>
      <c r="I52" s="3" t="str">
        <f>IF(OR(KysymyksetTaulukko[[#This Row],[Luokka]]="Ei kuulu",KysymyksetTaulukko[[#This Row],[Toimiala-
kysymys]]="Ei kuulu"), "Ei kuulu", "Kuuluu")</f>
        <v>Ei kuulu</v>
      </c>
      <c r="J52" s="3" t="str">
        <f>IF(KysymyksetTaulukko[[#This Row],[Luokka + toimiala]]="Kuuluu","a) Oman vesilaitoksen kysymykset","b) Muut kysymykset")</f>
        <v>b) Muut kysymykset</v>
      </c>
      <c r="K52" s="125" t="s">
        <v>7</v>
      </c>
      <c r="L52" s="9" t="s">
        <v>56</v>
      </c>
      <c r="M52" s="61" t="str">
        <f>LEFT(KysymyksetTaulukko[[#This Row],[Alakategoria_]],2)</f>
        <v>3.</v>
      </c>
      <c r="N52" s="109" t="s">
        <v>11</v>
      </c>
      <c r="O52" s="70" t="s">
        <v>206</v>
      </c>
      <c r="P52" s="67" t="str">
        <f>IF(AND(KysymyksetTaulukko[[#This Row],[Luokka]]="Extra",KysymyksetTaulukko[[#This Row],[Luokka + toimiala]]="Kuuluu"),"Extra","")</f>
        <v/>
      </c>
      <c r="Q52" s="114"/>
      <c r="R52" s="64" t="s">
        <v>65</v>
      </c>
      <c r="S52" s="159"/>
      <c r="T52" s="123">
        <f>IF(AND(KysymyksetTaulukko[[#This Row],[Luokka + toimiala]]="Kuuluu",KysymyksetTaulukko[[#This Row],[Vastaus]]="Kyllä"),1,0)</f>
        <v>0</v>
      </c>
      <c r="U52" s="121">
        <f>IF(AND(KysymyksetTaulukko[[#This Row],[Maksimipisteet]]=1,NOT(ISBLANK(KysymyksetTaulukko[[#This Row],[Vastaus]]))),1,0)</f>
        <v>0</v>
      </c>
      <c r="V52" s="123">
        <f>IF(OR(KysymyksetTaulukko[[#This Row],[Luokka + toimiala]]="Ei kuulu",KysymyksetTaulukko[[#This Row],[Vastaus]]="Ei koske",KysymyksetTaulukko[[#This Row],[Luokka]]="Extra",KysymyksetTaulukko[[#This Row],[Otsikkorivi]]="Kyllä"),0,1)</f>
        <v>0</v>
      </c>
    </row>
    <row r="53" spans="1:22" ht="28.5" x14ac:dyDescent="0.25">
      <c r="A53" s="3" t="s">
        <v>12</v>
      </c>
      <c r="B53" s="3" t="str">
        <f>IF(ISNUMBER(SEARCH("," &amp; LV!$B$10 &amp; ",", "," &amp; SUBSTITUTE(A53, " ", "")&amp; ",")),
  "Kuuluu",
  IF(AND(LV!$B$10&gt;=2,
      LV!$B$10&lt;=4,
      OR(ISNUMBER(SEARCH("," &amp;(LV!$B$10+1)&amp; ",", "," &amp; SUBSTITUTE(A53, " ", "")&amp; ",")),
        ISNUMBER(SEARCH("," &amp;(LV!$B$10+2)&amp; ",", "," &amp; SUBSTITUTE(A53, " ", "")&amp; ",")),
        ISNUMBER(SEARCH("," &amp;(LV!$B$10+3)&amp; ",", "," &amp; SUBSTITUTE(A53, " ", "")&amp; ",")),
        ISNUMBER(SEARCH("," &amp;(LV!$B$10+4)&amp; ",", "," &amp; SUBSTITUTE(A53, " ", "")&amp; ",")),
        ISNUMBER(SEARCH("," &amp;(LV!$B$10+5)&amp; ",", "," &amp; SUBSTITUTE(A53, " ", "")&amp; ",")))),
    "Extra",
    "Ei kuulu"))</f>
        <v>Ei kuulu</v>
      </c>
      <c r="C53" s="3" t="s">
        <v>17</v>
      </c>
      <c r="D53" s="3" t="str">
        <f>IF(ISNUMBER(SEARCH(LV!$I$5, Turvallinen_ja_toimintavarma!C53)), "K", "E")</f>
        <v>E</v>
      </c>
      <c r="E53" s="3" t="str">
        <f>IF(ISNUMBER(SEARCH(LV!$I$6, Turvallinen_ja_toimintavarma!$C53)), "K", "E")</f>
        <v>E</v>
      </c>
      <c r="F53" s="3" t="str">
        <f>IF(ISNUMBER(SEARCH(LV!$I$7, Turvallinen_ja_toimintavarma!$C53)), "K", "E")</f>
        <v>E</v>
      </c>
      <c r="G53" s="3" t="str">
        <f>IF(ISNUMBER(SEARCH(LV!$I$8, Turvallinen_ja_toimintavarma!$C53)), "K", "E")</f>
        <v>E</v>
      </c>
      <c r="H53" s="3" t="str">
        <f>IF(OR(KysymyksetTaulukko[[#This Row],[Toimiala A]]="K",KysymyksetTaulukko[[#This Row],[Toimiala B]]="K",KysymyksetTaulukko[[#This Row],[Toimiala C]]="K",KysymyksetTaulukko[[#This Row],[Toimiala D]]="K"),"Kuuluu","Ei kuulu")</f>
        <v>Ei kuulu</v>
      </c>
      <c r="I53" s="3" t="str">
        <f>IF(OR(KysymyksetTaulukko[[#This Row],[Luokka]]="Ei kuulu",KysymyksetTaulukko[[#This Row],[Toimiala-
kysymys]]="Ei kuulu"), "Ei kuulu", "Kuuluu")</f>
        <v>Ei kuulu</v>
      </c>
      <c r="J53" s="3" t="str">
        <f>IF(KysymyksetTaulukko[[#This Row],[Luokka + toimiala]]="Kuuluu","a) Oman vesilaitoksen kysymykset","b) Muut kysymykset")</f>
        <v>b) Muut kysymykset</v>
      </c>
      <c r="K53" s="125" t="s">
        <v>7</v>
      </c>
      <c r="L53" s="9" t="s">
        <v>56</v>
      </c>
      <c r="M53" s="61" t="str">
        <f>LEFT(KysymyksetTaulukko[[#This Row],[Alakategoria_]],2)</f>
        <v>3.</v>
      </c>
      <c r="N53" s="109" t="s">
        <v>11</v>
      </c>
      <c r="O53" s="70" t="s">
        <v>206</v>
      </c>
      <c r="P53" s="67" t="str">
        <f>IF(AND(KysymyksetTaulukko[[#This Row],[Luokka]]="Extra",KysymyksetTaulukko[[#This Row],[Luokka + toimiala]]="Kuuluu"),"Extra","")</f>
        <v/>
      </c>
      <c r="Q53" s="114"/>
      <c r="R53" s="64" t="s">
        <v>67</v>
      </c>
      <c r="S53" s="159"/>
      <c r="T53" s="123">
        <f>IF(AND(KysymyksetTaulukko[[#This Row],[Luokka + toimiala]]="Kuuluu",KysymyksetTaulukko[[#This Row],[Vastaus]]="Kyllä"),1,0)</f>
        <v>0</v>
      </c>
      <c r="U53" s="121">
        <f>IF(AND(KysymyksetTaulukko[[#This Row],[Maksimipisteet]]=1,NOT(ISBLANK(KysymyksetTaulukko[[#This Row],[Vastaus]]))),1,0)</f>
        <v>0</v>
      </c>
      <c r="V53" s="123">
        <f>IF(OR(KysymyksetTaulukko[[#This Row],[Luokka + toimiala]]="Ei kuulu",KysymyksetTaulukko[[#This Row],[Vastaus]]="Ei koske",KysymyksetTaulukko[[#This Row],[Luokka]]="Extra",KysymyksetTaulukko[[#This Row],[Otsikkorivi]]="Kyllä"),0,1)</f>
        <v>0</v>
      </c>
    </row>
    <row r="54" spans="1:22" ht="28.5" x14ac:dyDescent="0.25">
      <c r="A54" s="3" t="s">
        <v>12</v>
      </c>
      <c r="B54" s="3" t="str">
        <f>IF(ISNUMBER(SEARCH("," &amp; LV!$B$10 &amp; ",", "," &amp; SUBSTITUTE(A54, " ", "")&amp; ",")),
  "Kuuluu",
  IF(AND(LV!$B$10&gt;=2,
      LV!$B$10&lt;=4,
      OR(ISNUMBER(SEARCH("," &amp;(LV!$B$10+1)&amp; ",", "," &amp; SUBSTITUTE(A54, " ", "")&amp; ",")),
        ISNUMBER(SEARCH("," &amp;(LV!$B$10+2)&amp; ",", "," &amp; SUBSTITUTE(A54, " ", "")&amp; ",")),
        ISNUMBER(SEARCH("," &amp;(LV!$B$10+3)&amp; ",", "," &amp; SUBSTITUTE(A54, " ", "")&amp; ",")),
        ISNUMBER(SEARCH("," &amp;(LV!$B$10+4)&amp; ",", "," &amp; SUBSTITUTE(A54, " ", "")&amp; ",")),
        ISNUMBER(SEARCH("," &amp;(LV!$B$10+5)&amp; ",", "," &amp; SUBSTITUTE(A54, " ", "")&amp; ",")))),
    "Extra",
    "Ei kuulu"))</f>
        <v>Ei kuulu</v>
      </c>
      <c r="C54" s="3" t="s">
        <v>28</v>
      </c>
      <c r="D54" s="3" t="str">
        <f>IF(ISNUMBER(SEARCH(LV!$I$5, Turvallinen_ja_toimintavarma!C54)), "K", "E")</f>
        <v>E</v>
      </c>
      <c r="E54" s="3" t="str">
        <f>IF(ISNUMBER(SEARCH(LV!$I$6, Turvallinen_ja_toimintavarma!$C54)), "K", "E")</f>
        <v>E</v>
      </c>
      <c r="F54" s="3" t="str">
        <f>IF(ISNUMBER(SEARCH(LV!$I$7, Turvallinen_ja_toimintavarma!$C54)), "K", "E")</f>
        <v>E</v>
      </c>
      <c r="G54" s="3" t="str">
        <f>IF(ISNUMBER(SEARCH(LV!$I$8, Turvallinen_ja_toimintavarma!$C54)), "K", "E")</f>
        <v>E</v>
      </c>
      <c r="H54" s="3" t="str">
        <f>IF(OR(KysymyksetTaulukko[[#This Row],[Toimiala A]]="K",KysymyksetTaulukko[[#This Row],[Toimiala B]]="K",KysymyksetTaulukko[[#This Row],[Toimiala C]]="K",KysymyksetTaulukko[[#This Row],[Toimiala D]]="K"),"Kuuluu","Ei kuulu")</f>
        <v>Ei kuulu</v>
      </c>
      <c r="I54" s="3" t="str">
        <f>IF(OR(KysymyksetTaulukko[[#This Row],[Luokka]]="Ei kuulu",KysymyksetTaulukko[[#This Row],[Toimiala-
kysymys]]="Ei kuulu"), "Ei kuulu", "Kuuluu")</f>
        <v>Ei kuulu</v>
      </c>
      <c r="J54" s="3" t="str">
        <f>IF(KysymyksetTaulukko[[#This Row],[Luokka + toimiala]]="Kuuluu","a) Oman vesilaitoksen kysymykset","b) Muut kysymykset")</f>
        <v>b) Muut kysymykset</v>
      </c>
      <c r="K54" s="125" t="s">
        <v>7</v>
      </c>
      <c r="L54" s="9" t="s">
        <v>56</v>
      </c>
      <c r="M54" s="61" t="str">
        <f>LEFT(KysymyksetTaulukko[[#This Row],[Alakategoria_]],2)</f>
        <v>3.</v>
      </c>
      <c r="N54" s="109" t="s">
        <v>11</v>
      </c>
      <c r="O54" s="70" t="s">
        <v>206</v>
      </c>
      <c r="P54" s="67" t="str">
        <f>IF(AND(KysymyksetTaulukko[[#This Row],[Luokka]]="Extra",KysymyksetTaulukko[[#This Row],[Luokka + toimiala]]="Kuuluu"),"Extra","")</f>
        <v/>
      </c>
      <c r="Q54" s="114"/>
      <c r="R54" s="64" t="s">
        <v>68</v>
      </c>
      <c r="S54" s="159"/>
      <c r="T54" s="123">
        <f>IF(AND(KysymyksetTaulukko[[#This Row],[Luokka + toimiala]]="Kuuluu",KysymyksetTaulukko[[#This Row],[Vastaus]]="Kyllä"),1,0)</f>
        <v>0</v>
      </c>
      <c r="U54" s="121">
        <f>IF(AND(KysymyksetTaulukko[[#This Row],[Maksimipisteet]]=1,NOT(ISBLANK(KysymyksetTaulukko[[#This Row],[Vastaus]]))),1,0)</f>
        <v>0</v>
      </c>
      <c r="V54" s="123">
        <f>IF(OR(KysymyksetTaulukko[[#This Row],[Luokka + toimiala]]="Ei kuulu",KysymyksetTaulukko[[#This Row],[Vastaus]]="Ei koske",KysymyksetTaulukko[[#This Row],[Luokka]]="Extra",KysymyksetTaulukko[[#This Row],[Otsikkorivi]]="Kyllä"),0,1)</f>
        <v>0</v>
      </c>
    </row>
    <row r="55" spans="1:22" ht="30" x14ac:dyDescent="0.25">
      <c r="A55" s="3" t="s">
        <v>40</v>
      </c>
      <c r="B55" s="3" t="str">
        <f>IF(ISNUMBER(SEARCH("," &amp; LV!$B$10 &amp; ",", "," &amp; SUBSTITUTE(A55, " ", "")&amp; ",")),
  "Kuuluu",
  IF(AND(LV!$B$10&gt;=2,
      LV!$B$10&lt;=4,
      OR(ISNUMBER(SEARCH("," &amp;(LV!$B$10+1)&amp; ",", "," &amp; SUBSTITUTE(A55, " ", "")&amp; ",")),
        ISNUMBER(SEARCH("," &amp;(LV!$B$10+2)&amp; ",", "," &amp; SUBSTITUTE(A55, " ", "")&amp; ",")),
        ISNUMBER(SEARCH("," &amp;(LV!$B$10+3)&amp; ",", "," &amp; SUBSTITUTE(A55, " ", "")&amp; ",")),
        ISNUMBER(SEARCH("," &amp;(LV!$B$10+4)&amp; ",", "," &amp; SUBSTITUTE(A55, " ", "")&amp; ",")),
        ISNUMBER(SEARCH("," &amp;(LV!$B$10+5)&amp; ",", "," &amp; SUBSTITUTE(A55, " ", "")&amp; ",")))),
    "Extra",
    "Ei kuulu"))</f>
        <v>Ei kuulu</v>
      </c>
      <c r="C55" s="3" t="s">
        <v>17</v>
      </c>
      <c r="D55" s="3" t="str">
        <f>IF(ISNUMBER(SEARCH(LV!$I$5, Turvallinen_ja_toimintavarma!C55)), "K", "E")</f>
        <v>E</v>
      </c>
      <c r="E55" s="3" t="str">
        <f>IF(ISNUMBER(SEARCH(LV!$I$6, Turvallinen_ja_toimintavarma!$C55)), "K", "E")</f>
        <v>E</v>
      </c>
      <c r="F55" s="3" t="str">
        <f>IF(ISNUMBER(SEARCH(LV!$I$7, Turvallinen_ja_toimintavarma!$C55)), "K", "E")</f>
        <v>E</v>
      </c>
      <c r="G55" s="3" t="str">
        <f>IF(ISNUMBER(SEARCH(LV!$I$8, Turvallinen_ja_toimintavarma!$C55)), "K", "E")</f>
        <v>E</v>
      </c>
      <c r="H55" s="3" t="str">
        <f>IF(OR(KysymyksetTaulukko[[#This Row],[Toimiala A]]="K",KysymyksetTaulukko[[#This Row],[Toimiala B]]="K",KysymyksetTaulukko[[#This Row],[Toimiala C]]="K",KysymyksetTaulukko[[#This Row],[Toimiala D]]="K"),"Kuuluu","Ei kuulu")</f>
        <v>Ei kuulu</v>
      </c>
      <c r="I55" s="3" t="str">
        <f>IF(OR(KysymyksetTaulukko[[#This Row],[Luokka]]="Ei kuulu",KysymyksetTaulukko[[#This Row],[Toimiala-
kysymys]]="Ei kuulu"), "Ei kuulu", "Kuuluu")</f>
        <v>Ei kuulu</v>
      </c>
      <c r="J55" s="3" t="str">
        <f>IF(KysymyksetTaulukko[[#This Row],[Luokka + toimiala]]="Kuuluu","a) Oman vesilaitoksen kysymykset","b) Muut kysymykset")</f>
        <v>b) Muut kysymykset</v>
      </c>
      <c r="K55" s="125" t="s">
        <v>7</v>
      </c>
      <c r="L55" s="9" t="s">
        <v>56</v>
      </c>
      <c r="M55" s="61" t="str">
        <f>LEFT(KysymyksetTaulukko[[#This Row],[Alakategoria_]],2)</f>
        <v>3.</v>
      </c>
      <c r="N55" s="109" t="s">
        <v>11</v>
      </c>
      <c r="O55" s="70" t="s">
        <v>206</v>
      </c>
      <c r="P55" s="67" t="str">
        <f>IF(AND(KysymyksetTaulukko[[#This Row],[Luokka]]="Extra",KysymyksetTaulukko[[#This Row],[Luokka + toimiala]]="Kuuluu"),"Extra","")</f>
        <v/>
      </c>
      <c r="Q55" s="114"/>
      <c r="R55" s="64" t="s">
        <v>69</v>
      </c>
      <c r="S55" s="159"/>
      <c r="T55" s="123">
        <f>IF(AND(KysymyksetTaulukko[[#This Row],[Luokka + toimiala]]="Kuuluu",KysymyksetTaulukko[[#This Row],[Vastaus]]="Kyllä"),1,0)</f>
        <v>0</v>
      </c>
      <c r="U55" s="121">
        <f>IF(AND(KysymyksetTaulukko[[#This Row],[Maksimipisteet]]=1,NOT(ISBLANK(KysymyksetTaulukko[[#This Row],[Vastaus]]))),1,0)</f>
        <v>0</v>
      </c>
      <c r="V55" s="123">
        <f>IF(OR(KysymyksetTaulukko[[#This Row],[Luokka + toimiala]]="Ei kuulu",KysymyksetTaulukko[[#This Row],[Vastaus]]="Ei koske",KysymyksetTaulukko[[#This Row],[Luokka]]="Extra",KysymyksetTaulukko[[#This Row],[Otsikkorivi]]="Kyllä"),0,1)</f>
        <v>0</v>
      </c>
    </row>
    <row r="56" spans="1:22" ht="28.5" x14ac:dyDescent="0.25">
      <c r="A56" s="3" t="s">
        <v>6</v>
      </c>
      <c r="B56" s="3" t="str">
        <f>IF(ISNUMBER(SEARCH("," &amp; LV!$B$10 &amp; ",", "," &amp; SUBSTITUTE(A56, " ", "")&amp; ",")),
  "Kuuluu",
  IF(AND(LV!$B$10&gt;=2,
      LV!$B$10&lt;=4,
      OR(ISNUMBER(SEARCH("," &amp;(LV!$B$10+1)&amp; ",", "," &amp; SUBSTITUTE(A56, " ", "")&amp; ",")),
        ISNUMBER(SEARCH("," &amp;(LV!$B$10+2)&amp; ",", "," &amp; SUBSTITUTE(A56, " ", "")&amp; ",")),
        ISNUMBER(SEARCH("," &amp;(LV!$B$10+3)&amp; ",", "," &amp; SUBSTITUTE(A56, " ", "")&amp; ",")),
        ISNUMBER(SEARCH("," &amp;(LV!$B$10+4)&amp; ",", "," &amp; SUBSTITUTE(A56, " ", "")&amp; ",")),
        ISNUMBER(SEARCH("," &amp;(LV!$B$10+5)&amp; ",", "," &amp; SUBSTITUTE(A56, " ", "")&amp; ",")))),
    "Extra",
    "Ei kuulu"))</f>
        <v>Ei kuulu</v>
      </c>
      <c r="C56" s="3" t="s">
        <v>28</v>
      </c>
      <c r="D56" s="3" t="str">
        <f>IF(ISNUMBER(SEARCH(LV!$I$5, Turvallinen_ja_toimintavarma!C56)), "K", "E")</f>
        <v>E</v>
      </c>
      <c r="E56" s="3" t="str">
        <f>IF(ISNUMBER(SEARCH(LV!$I$6, Turvallinen_ja_toimintavarma!$C56)), "K", "E")</f>
        <v>E</v>
      </c>
      <c r="F56" s="3" t="str">
        <f>IF(ISNUMBER(SEARCH(LV!$I$7, Turvallinen_ja_toimintavarma!$C56)), "K", "E")</f>
        <v>E</v>
      </c>
      <c r="G56" s="3" t="str">
        <f>IF(ISNUMBER(SEARCH(LV!$I$8, Turvallinen_ja_toimintavarma!$C56)), "K", "E")</f>
        <v>E</v>
      </c>
      <c r="H56" s="3" t="str">
        <f>IF(OR(KysymyksetTaulukko[[#This Row],[Toimiala A]]="K",KysymyksetTaulukko[[#This Row],[Toimiala B]]="K",KysymyksetTaulukko[[#This Row],[Toimiala C]]="K",KysymyksetTaulukko[[#This Row],[Toimiala D]]="K"),"Kuuluu","Ei kuulu")</f>
        <v>Ei kuulu</v>
      </c>
      <c r="I56" s="3" t="str">
        <f>IF(OR(KysymyksetTaulukko[[#This Row],[Luokka]]="Ei kuulu",KysymyksetTaulukko[[#This Row],[Toimiala-
kysymys]]="Ei kuulu"), "Ei kuulu", "Kuuluu")</f>
        <v>Ei kuulu</v>
      </c>
      <c r="J56" s="3" t="str">
        <f>IF(KysymyksetTaulukko[[#This Row],[Luokka + toimiala]]="Kuuluu","a) Oman vesilaitoksen kysymykset","b) Muut kysymykset")</f>
        <v>b) Muut kysymykset</v>
      </c>
      <c r="K56" s="125" t="s">
        <v>7</v>
      </c>
      <c r="L56" s="9" t="s">
        <v>241</v>
      </c>
      <c r="M56" s="61" t="str">
        <f>LEFT(KysymyksetTaulukko[[#This Row],[Alakategoria_]],2)</f>
        <v>_O</v>
      </c>
      <c r="N56" s="107"/>
      <c r="O56" s="70"/>
      <c r="P56" s="67" t="str">
        <f>IF(AND(KysymyksetTaulukko[[#This Row],[Luokka]]="Extra",KysymyksetTaulukko[[#This Row],[Luokka + toimiala]]="Kuuluu"),"Extra","")</f>
        <v/>
      </c>
      <c r="Q56" s="114" t="s">
        <v>177</v>
      </c>
      <c r="R56" s="128" t="s">
        <v>70</v>
      </c>
      <c r="S56" s="158"/>
      <c r="T56" s="123">
        <f>IF(AND(KysymyksetTaulukko[[#This Row],[Luokka + toimiala]]="Kuuluu",KysymyksetTaulukko[[#This Row],[Vastaus]]="Kyllä"),1,0)</f>
        <v>0</v>
      </c>
      <c r="U56" s="121">
        <f>IF(AND(KysymyksetTaulukko[[#This Row],[Maksimipisteet]]=1,NOT(ISBLANK(KysymyksetTaulukko[[#This Row],[Vastaus]]))),1,0)</f>
        <v>0</v>
      </c>
      <c r="V56" s="123">
        <f>IF(OR(KysymyksetTaulukko[[#This Row],[Luokka + toimiala]]="Ei kuulu",KysymyksetTaulukko[[#This Row],[Vastaus]]="Ei koske",KysymyksetTaulukko[[#This Row],[Luokka]]="Extra",KysymyksetTaulukko[[#This Row],[Otsikkorivi]]="Kyllä"),0,1)</f>
        <v>0</v>
      </c>
    </row>
    <row r="57" spans="1:22" ht="28.5" x14ac:dyDescent="0.25">
      <c r="A57" s="3" t="s">
        <v>12</v>
      </c>
      <c r="B57" s="3" t="str">
        <f>IF(ISNUMBER(SEARCH("," &amp; LV!$B$10 &amp; ",", "," &amp; SUBSTITUTE(A57, " ", "")&amp; ",")),
  "Kuuluu",
  IF(AND(LV!$B$10&gt;=2,
      LV!$B$10&lt;=4,
      OR(ISNUMBER(SEARCH("," &amp;(LV!$B$10+1)&amp; ",", "," &amp; SUBSTITUTE(A57, " ", "")&amp; ",")),
        ISNUMBER(SEARCH("," &amp;(LV!$B$10+2)&amp; ",", "," &amp; SUBSTITUTE(A57, " ", "")&amp; ",")),
        ISNUMBER(SEARCH("," &amp;(LV!$B$10+3)&amp; ",", "," &amp; SUBSTITUTE(A57, " ", "")&amp; ",")),
        ISNUMBER(SEARCH("," &amp;(LV!$B$10+4)&amp; ",", "," &amp; SUBSTITUTE(A57, " ", "")&amp; ",")),
        ISNUMBER(SEARCH("," &amp;(LV!$B$10+5)&amp; ",", "," &amp; SUBSTITUTE(A57, " ", "")&amp; ",")))),
    "Extra",
    "Ei kuulu"))</f>
        <v>Ei kuulu</v>
      </c>
      <c r="C57" s="3" t="s">
        <v>28</v>
      </c>
      <c r="D57" s="3" t="str">
        <f>IF(ISNUMBER(SEARCH(LV!$I$5, Turvallinen_ja_toimintavarma!C57)), "K", "E")</f>
        <v>E</v>
      </c>
      <c r="E57" s="3" t="str">
        <f>IF(ISNUMBER(SEARCH(LV!$I$6, Turvallinen_ja_toimintavarma!$C57)), "K", "E")</f>
        <v>E</v>
      </c>
      <c r="F57" s="3" t="str">
        <f>IF(ISNUMBER(SEARCH(LV!$I$7, Turvallinen_ja_toimintavarma!$C57)), "K", "E")</f>
        <v>E</v>
      </c>
      <c r="G57" s="3" t="str">
        <f>IF(ISNUMBER(SEARCH(LV!$I$8, Turvallinen_ja_toimintavarma!$C57)), "K", "E")</f>
        <v>E</v>
      </c>
      <c r="H57" s="3" t="str">
        <f>IF(OR(KysymyksetTaulukko[[#This Row],[Toimiala A]]="K",KysymyksetTaulukko[[#This Row],[Toimiala B]]="K",KysymyksetTaulukko[[#This Row],[Toimiala C]]="K",KysymyksetTaulukko[[#This Row],[Toimiala D]]="K"),"Kuuluu","Ei kuulu")</f>
        <v>Ei kuulu</v>
      </c>
      <c r="I57" s="3" t="str">
        <f>IF(OR(KysymyksetTaulukko[[#This Row],[Luokka]]="Ei kuulu",KysymyksetTaulukko[[#This Row],[Toimiala-
kysymys]]="Ei kuulu"), "Ei kuulu", "Kuuluu")</f>
        <v>Ei kuulu</v>
      </c>
      <c r="J57" s="3" t="str">
        <f>IF(KysymyksetTaulukko[[#This Row],[Luokka + toimiala]]="Kuuluu","a) Oman vesilaitoksen kysymykset","b) Muut kysymykset")</f>
        <v>b) Muut kysymykset</v>
      </c>
      <c r="K57" s="125" t="s">
        <v>7</v>
      </c>
      <c r="L57" s="9" t="s">
        <v>70</v>
      </c>
      <c r="M57" s="61" t="str">
        <f>LEFT(KysymyksetTaulukko[[#This Row],[Alakategoria_]],2)</f>
        <v>4.</v>
      </c>
      <c r="N57" s="107" t="s">
        <v>11</v>
      </c>
      <c r="O57" s="70" t="s">
        <v>206</v>
      </c>
      <c r="P57" s="67" t="str">
        <f>IF(AND(KysymyksetTaulukko[[#This Row],[Luokka]]="Extra",KysymyksetTaulukko[[#This Row],[Luokka + toimiala]]="Kuuluu"),"Extra","")</f>
        <v/>
      </c>
      <c r="Q57" s="114"/>
      <c r="R57" s="64" t="s">
        <v>71</v>
      </c>
      <c r="S57" s="159"/>
      <c r="T57" s="123">
        <f>IF(AND(KysymyksetTaulukko[[#This Row],[Luokka + toimiala]]="Kuuluu",KysymyksetTaulukko[[#This Row],[Vastaus]]="Kyllä"),1,0)</f>
        <v>0</v>
      </c>
      <c r="U57" s="121">
        <f>IF(AND(KysymyksetTaulukko[[#This Row],[Maksimipisteet]]=1,NOT(ISBLANK(KysymyksetTaulukko[[#This Row],[Vastaus]]))),1,0)</f>
        <v>0</v>
      </c>
      <c r="V57" s="123">
        <f>IF(OR(KysymyksetTaulukko[[#This Row],[Luokka + toimiala]]="Ei kuulu",KysymyksetTaulukko[[#This Row],[Vastaus]]="Ei koske",KysymyksetTaulukko[[#This Row],[Luokka]]="Extra",KysymyksetTaulukko[[#This Row],[Otsikkorivi]]="Kyllä"),0,1)</f>
        <v>0</v>
      </c>
    </row>
    <row r="58" spans="1:22" ht="28.5" x14ac:dyDescent="0.25">
      <c r="A58" s="3" t="s">
        <v>12</v>
      </c>
      <c r="B58" s="3" t="str">
        <f>IF(ISNUMBER(SEARCH("," &amp; LV!$B$10 &amp; ",", "," &amp; SUBSTITUTE(A58, " ", "")&amp; ",")),
  "Kuuluu",
  IF(AND(LV!$B$10&gt;=2,
      LV!$B$10&lt;=4,
      OR(ISNUMBER(SEARCH("," &amp;(LV!$B$10+1)&amp; ",", "," &amp; SUBSTITUTE(A58, " ", "")&amp; ",")),
        ISNUMBER(SEARCH("," &amp;(LV!$B$10+2)&amp; ",", "," &amp; SUBSTITUTE(A58, " ", "")&amp; ",")),
        ISNUMBER(SEARCH("," &amp;(LV!$B$10+3)&amp; ",", "," &amp; SUBSTITUTE(A58, " ", "")&amp; ",")),
        ISNUMBER(SEARCH("," &amp;(LV!$B$10+4)&amp; ",", "," &amp; SUBSTITUTE(A58, " ", "")&amp; ",")),
        ISNUMBER(SEARCH("," &amp;(LV!$B$10+5)&amp; ",", "," &amp; SUBSTITUTE(A58, " ", "")&amp; ",")))),
    "Extra",
    "Ei kuulu"))</f>
        <v>Ei kuulu</v>
      </c>
      <c r="C58" s="3" t="s">
        <v>28</v>
      </c>
      <c r="D58" s="3" t="str">
        <f>IF(ISNUMBER(SEARCH(LV!$I$5, Turvallinen_ja_toimintavarma!C58)), "K", "E")</f>
        <v>E</v>
      </c>
      <c r="E58" s="3" t="str">
        <f>IF(ISNUMBER(SEARCH(LV!$I$6, Turvallinen_ja_toimintavarma!$C58)), "K", "E")</f>
        <v>E</v>
      </c>
      <c r="F58" s="3" t="str">
        <f>IF(ISNUMBER(SEARCH(LV!$I$7, Turvallinen_ja_toimintavarma!$C58)), "K", "E")</f>
        <v>E</v>
      </c>
      <c r="G58" s="3" t="str">
        <f>IF(ISNUMBER(SEARCH(LV!$I$8, Turvallinen_ja_toimintavarma!$C58)), "K", "E")</f>
        <v>E</v>
      </c>
      <c r="H58" s="3" t="str">
        <f>IF(OR(KysymyksetTaulukko[[#This Row],[Toimiala A]]="K",KysymyksetTaulukko[[#This Row],[Toimiala B]]="K",KysymyksetTaulukko[[#This Row],[Toimiala C]]="K",KysymyksetTaulukko[[#This Row],[Toimiala D]]="K"),"Kuuluu","Ei kuulu")</f>
        <v>Ei kuulu</v>
      </c>
      <c r="I58" s="3" t="str">
        <f>IF(OR(KysymyksetTaulukko[[#This Row],[Luokka]]="Ei kuulu",KysymyksetTaulukko[[#This Row],[Toimiala-
kysymys]]="Ei kuulu"), "Ei kuulu", "Kuuluu")</f>
        <v>Ei kuulu</v>
      </c>
      <c r="J58" s="3" t="str">
        <f>IF(KysymyksetTaulukko[[#This Row],[Luokka + toimiala]]="Kuuluu","a) Oman vesilaitoksen kysymykset","b) Muut kysymykset")</f>
        <v>b) Muut kysymykset</v>
      </c>
      <c r="K58" s="125" t="s">
        <v>7</v>
      </c>
      <c r="L58" s="9" t="s">
        <v>70</v>
      </c>
      <c r="M58" s="61" t="str">
        <f>LEFT(KysymyksetTaulukko[[#This Row],[Alakategoria_]],2)</f>
        <v>4.</v>
      </c>
      <c r="N58" s="107" t="s">
        <v>11</v>
      </c>
      <c r="O58" s="70" t="s">
        <v>206</v>
      </c>
      <c r="P58" s="67" t="str">
        <f>IF(AND(KysymyksetTaulukko[[#This Row],[Luokka]]="Extra",KysymyksetTaulukko[[#This Row],[Luokka + toimiala]]="Kuuluu"),"Extra","")</f>
        <v/>
      </c>
      <c r="Q58" s="114"/>
      <c r="R58" s="64" t="s">
        <v>72</v>
      </c>
      <c r="S58" s="159"/>
      <c r="T58" s="123">
        <f>IF(AND(KysymyksetTaulukko[[#This Row],[Luokka + toimiala]]="Kuuluu",KysymyksetTaulukko[[#This Row],[Vastaus]]="Kyllä"),1,0)</f>
        <v>0</v>
      </c>
      <c r="U58" s="121">
        <f>IF(AND(KysymyksetTaulukko[[#This Row],[Maksimipisteet]]=1,NOT(ISBLANK(KysymyksetTaulukko[[#This Row],[Vastaus]]))),1,0)</f>
        <v>0</v>
      </c>
      <c r="V58" s="123">
        <f>IF(OR(KysymyksetTaulukko[[#This Row],[Luokka + toimiala]]="Ei kuulu",KysymyksetTaulukko[[#This Row],[Vastaus]]="Ei koske",KysymyksetTaulukko[[#This Row],[Luokka]]="Extra",KysymyksetTaulukko[[#This Row],[Otsikkorivi]]="Kyllä"),0,1)</f>
        <v>0</v>
      </c>
    </row>
    <row r="59" spans="1:22" ht="28.5" x14ac:dyDescent="0.25">
      <c r="A59" s="3" t="s">
        <v>19</v>
      </c>
      <c r="B59" s="3" t="str">
        <f>IF(ISNUMBER(SEARCH("," &amp; LV!$B$10 &amp; ",", "," &amp; SUBSTITUTE(A59, " ", "")&amp; ",")),
  "Kuuluu",
  IF(AND(LV!$B$10&gt;=2,
      LV!$B$10&lt;=4,
      OR(ISNUMBER(SEARCH("," &amp;(LV!$B$10+1)&amp; ",", "," &amp; SUBSTITUTE(A59, " ", "")&amp; ",")),
        ISNUMBER(SEARCH("," &amp;(LV!$B$10+2)&amp; ",", "," &amp; SUBSTITUTE(A59, " ", "")&amp; ",")),
        ISNUMBER(SEARCH("," &amp;(LV!$B$10+3)&amp; ",", "," &amp; SUBSTITUTE(A59, " ", "")&amp; ",")),
        ISNUMBER(SEARCH("," &amp;(LV!$B$10+4)&amp; ",", "," &amp; SUBSTITUTE(A59, " ", "")&amp; ",")),
        ISNUMBER(SEARCH("," &amp;(LV!$B$10+5)&amp; ",", "," &amp; SUBSTITUTE(A59, " ", "")&amp; ",")))),
    "Extra",
    "Ei kuulu"))</f>
        <v>Ei kuulu</v>
      </c>
      <c r="C59" s="3" t="s">
        <v>28</v>
      </c>
      <c r="D59" s="3" t="str">
        <f>IF(ISNUMBER(SEARCH(LV!$I$5, Turvallinen_ja_toimintavarma!C59)), "K", "E")</f>
        <v>E</v>
      </c>
      <c r="E59" s="3" t="str">
        <f>IF(ISNUMBER(SEARCH(LV!$I$6, Turvallinen_ja_toimintavarma!$C59)), "K", "E")</f>
        <v>E</v>
      </c>
      <c r="F59" s="3" t="str">
        <f>IF(ISNUMBER(SEARCH(LV!$I$7, Turvallinen_ja_toimintavarma!$C59)), "K", "E")</f>
        <v>E</v>
      </c>
      <c r="G59" s="3" t="str">
        <f>IF(ISNUMBER(SEARCH(LV!$I$8, Turvallinen_ja_toimintavarma!$C59)), "K", "E")</f>
        <v>E</v>
      </c>
      <c r="H59" s="3" t="str">
        <f>IF(OR(KysymyksetTaulukko[[#This Row],[Toimiala A]]="K",KysymyksetTaulukko[[#This Row],[Toimiala B]]="K",KysymyksetTaulukko[[#This Row],[Toimiala C]]="K",KysymyksetTaulukko[[#This Row],[Toimiala D]]="K"),"Kuuluu","Ei kuulu")</f>
        <v>Ei kuulu</v>
      </c>
      <c r="I59" s="3" t="str">
        <f>IF(OR(KysymyksetTaulukko[[#This Row],[Luokka]]="Ei kuulu",KysymyksetTaulukko[[#This Row],[Toimiala-
kysymys]]="Ei kuulu"), "Ei kuulu", "Kuuluu")</f>
        <v>Ei kuulu</v>
      </c>
      <c r="J59" s="3" t="str">
        <f>IF(KysymyksetTaulukko[[#This Row],[Luokka + toimiala]]="Kuuluu","a) Oman vesilaitoksen kysymykset","b) Muut kysymykset")</f>
        <v>b) Muut kysymykset</v>
      </c>
      <c r="K59" s="125" t="s">
        <v>7</v>
      </c>
      <c r="L59" s="9" t="s">
        <v>70</v>
      </c>
      <c r="M59" s="61" t="str">
        <f>LEFT(KysymyksetTaulukko[[#This Row],[Alakategoria_]],2)</f>
        <v>4.</v>
      </c>
      <c r="N59" s="107" t="s">
        <v>11</v>
      </c>
      <c r="O59" s="70" t="s">
        <v>206</v>
      </c>
      <c r="P59" s="67" t="str">
        <f>IF(AND(KysymyksetTaulukko[[#This Row],[Luokka]]="Extra",KysymyksetTaulukko[[#This Row],[Luokka + toimiala]]="Kuuluu"),"Extra","")</f>
        <v/>
      </c>
      <c r="Q59" s="114"/>
      <c r="R59" s="64" t="s">
        <v>73</v>
      </c>
      <c r="S59" s="159"/>
      <c r="T59" s="123">
        <f>IF(AND(KysymyksetTaulukko[[#This Row],[Luokka + toimiala]]="Kuuluu",KysymyksetTaulukko[[#This Row],[Vastaus]]="Kyllä"),1,0)</f>
        <v>0</v>
      </c>
      <c r="U59" s="121">
        <f>IF(AND(KysymyksetTaulukko[[#This Row],[Maksimipisteet]]=1,NOT(ISBLANK(KysymyksetTaulukko[[#This Row],[Vastaus]]))),1,0)</f>
        <v>0</v>
      </c>
      <c r="V59" s="123">
        <f>IF(OR(KysymyksetTaulukko[[#This Row],[Luokka + toimiala]]="Ei kuulu",KysymyksetTaulukko[[#This Row],[Vastaus]]="Ei koske",KysymyksetTaulukko[[#This Row],[Luokka]]="Extra",KysymyksetTaulukko[[#This Row],[Otsikkorivi]]="Kyllä"),0,1)</f>
        <v>0</v>
      </c>
    </row>
    <row r="60" spans="1:22" ht="28.5" x14ac:dyDescent="0.25">
      <c r="A60" s="3">
        <v>3.4</v>
      </c>
      <c r="B60" s="3" t="str">
        <f>IF(ISNUMBER(SEARCH("," &amp; LV!$B$10 &amp; ",", "," &amp; SUBSTITUTE(A60, " ", "")&amp; ",")),
  "Kuuluu",
  IF(AND(LV!$B$10&gt;=2,
      LV!$B$10&lt;=4,
      OR(ISNUMBER(SEARCH("," &amp;(LV!$B$10+1)&amp; ",", "," &amp; SUBSTITUTE(A60, " ", "")&amp; ",")),
        ISNUMBER(SEARCH("," &amp;(LV!$B$10+2)&amp; ",", "," &amp; SUBSTITUTE(A60, " ", "")&amp; ",")),
        ISNUMBER(SEARCH("," &amp;(LV!$B$10+3)&amp; ",", "," &amp; SUBSTITUTE(A60, " ", "")&amp; ",")),
        ISNUMBER(SEARCH("," &amp;(LV!$B$10+4)&amp; ",", "," &amp; SUBSTITUTE(A60, " ", "")&amp; ",")),
        ISNUMBER(SEARCH("," &amp;(LV!$B$10+5)&amp; ",", "," &amp; SUBSTITUTE(A60, " ", "")&amp; ",")))),
    "Extra",
    "Ei kuulu"))</f>
        <v>Ei kuulu</v>
      </c>
      <c r="C60" s="3" t="s">
        <v>28</v>
      </c>
      <c r="D60" s="3" t="str">
        <f>IF(ISNUMBER(SEARCH(LV!$I$5, Turvallinen_ja_toimintavarma!C60)), "K", "E")</f>
        <v>E</v>
      </c>
      <c r="E60" s="3" t="str">
        <f>IF(ISNUMBER(SEARCH(LV!$I$6, Turvallinen_ja_toimintavarma!$C60)), "K", "E")</f>
        <v>E</v>
      </c>
      <c r="F60" s="3" t="str">
        <f>IF(ISNUMBER(SEARCH(LV!$I$7, Turvallinen_ja_toimintavarma!$C60)), "K", "E")</f>
        <v>E</v>
      </c>
      <c r="G60" s="3" t="str">
        <f>IF(ISNUMBER(SEARCH(LV!$I$8, Turvallinen_ja_toimintavarma!$C60)), "K", "E")</f>
        <v>E</v>
      </c>
      <c r="H60" s="3" t="str">
        <f>IF(OR(KysymyksetTaulukko[[#This Row],[Toimiala A]]="K",KysymyksetTaulukko[[#This Row],[Toimiala B]]="K",KysymyksetTaulukko[[#This Row],[Toimiala C]]="K",KysymyksetTaulukko[[#This Row],[Toimiala D]]="K"),"Kuuluu","Ei kuulu")</f>
        <v>Ei kuulu</v>
      </c>
      <c r="I60" s="3" t="str">
        <f>IF(OR(KysymyksetTaulukko[[#This Row],[Luokka]]="Ei kuulu",KysymyksetTaulukko[[#This Row],[Toimiala-
kysymys]]="Ei kuulu"), "Ei kuulu", "Kuuluu")</f>
        <v>Ei kuulu</v>
      </c>
      <c r="J60" s="3" t="str">
        <f>IF(KysymyksetTaulukko[[#This Row],[Luokka + toimiala]]="Kuuluu","a) Oman vesilaitoksen kysymykset","b) Muut kysymykset")</f>
        <v>b) Muut kysymykset</v>
      </c>
      <c r="K60" s="125" t="s">
        <v>7</v>
      </c>
      <c r="L60" s="9" t="s">
        <v>70</v>
      </c>
      <c r="M60" s="61" t="str">
        <f>LEFT(KysymyksetTaulukko[[#This Row],[Alakategoria_]],2)</f>
        <v>4.</v>
      </c>
      <c r="N60" s="107" t="s">
        <v>11</v>
      </c>
      <c r="O60" s="70" t="s">
        <v>206</v>
      </c>
      <c r="P60" s="67" t="str">
        <f>IF(AND(KysymyksetTaulukko[[#This Row],[Luokka]]="Extra",KysymyksetTaulukko[[#This Row],[Luokka + toimiala]]="Kuuluu"),"Extra","")</f>
        <v/>
      </c>
      <c r="Q60" s="114"/>
      <c r="R60" s="64" t="s">
        <v>74</v>
      </c>
      <c r="S60" s="159"/>
      <c r="T60" s="123">
        <f>IF(AND(KysymyksetTaulukko[[#This Row],[Luokka + toimiala]]="Kuuluu",KysymyksetTaulukko[[#This Row],[Vastaus]]="Kyllä"),1,0)</f>
        <v>0</v>
      </c>
      <c r="U60" s="121">
        <f>IF(AND(KysymyksetTaulukko[[#This Row],[Maksimipisteet]]=1,NOT(ISBLANK(KysymyksetTaulukko[[#This Row],[Vastaus]]))),1,0)</f>
        <v>0</v>
      </c>
      <c r="V60" s="123">
        <f>IF(OR(KysymyksetTaulukko[[#This Row],[Luokka + toimiala]]="Ei kuulu",KysymyksetTaulukko[[#This Row],[Vastaus]]="Ei koske",KysymyksetTaulukko[[#This Row],[Luokka]]="Extra",KysymyksetTaulukko[[#This Row],[Otsikkorivi]]="Kyllä"),0,1)</f>
        <v>0</v>
      </c>
    </row>
    <row r="61" spans="1:22" ht="45" x14ac:dyDescent="0.25">
      <c r="A61" s="3" t="s">
        <v>12</v>
      </c>
      <c r="B61" s="3" t="str">
        <f>IF(ISNUMBER(SEARCH("," &amp; LV!$B$10 &amp; ",", "," &amp; SUBSTITUTE(A61, " ", "")&amp; ",")),
  "Kuuluu",
  IF(AND(LV!$B$10&gt;=2,
      LV!$B$10&lt;=4,
      OR(ISNUMBER(SEARCH("," &amp;(LV!$B$10+1)&amp; ",", "," &amp; SUBSTITUTE(A61, " ", "")&amp; ",")),
        ISNUMBER(SEARCH("," &amp;(LV!$B$10+2)&amp; ",", "," &amp; SUBSTITUTE(A61, " ", "")&amp; ",")),
        ISNUMBER(SEARCH("," &amp;(LV!$B$10+3)&amp; ",", "," &amp; SUBSTITUTE(A61, " ", "")&amp; ",")),
        ISNUMBER(SEARCH("," &amp;(LV!$B$10+4)&amp; ",", "," &amp; SUBSTITUTE(A61, " ", "")&amp; ",")),
        ISNUMBER(SEARCH("," &amp;(LV!$B$10+5)&amp; ",", "," &amp; SUBSTITUTE(A61, " ", "")&amp; ",")))),
    "Extra",
    "Ei kuulu"))</f>
        <v>Ei kuulu</v>
      </c>
      <c r="C61" s="3" t="s">
        <v>28</v>
      </c>
      <c r="D61" s="3" t="str">
        <f>IF(ISNUMBER(SEARCH(LV!$I$5, Turvallinen_ja_toimintavarma!C61)), "K", "E")</f>
        <v>E</v>
      </c>
      <c r="E61" s="3" t="str">
        <f>IF(ISNUMBER(SEARCH(LV!$I$6, Turvallinen_ja_toimintavarma!$C61)), "K", "E")</f>
        <v>E</v>
      </c>
      <c r="F61" s="3" t="str">
        <f>IF(ISNUMBER(SEARCH(LV!$I$7, Turvallinen_ja_toimintavarma!$C61)), "K", "E")</f>
        <v>E</v>
      </c>
      <c r="G61" s="3" t="str">
        <f>IF(ISNUMBER(SEARCH(LV!$I$8, Turvallinen_ja_toimintavarma!$C61)), "K", "E")</f>
        <v>E</v>
      </c>
      <c r="H61" s="3" t="str">
        <f>IF(OR(KysymyksetTaulukko[[#This Row],[Toimiala A]]="K",KysymyksetTaulukko[[#This Row],[Toimiala B]]="K",KysymyksetTaulukko[[#This Row],[Toimiala C]]="K",KysymyksetTaulukko[[#This Row],[Toimiala D]]="K"),"Kuuluu","Ei kuulu")</f>
        <v>Ei kuulu</v>
      </c>
      <c r="I61" s="3" t="str">
        <f>IF(OR(KysymyksetTaulukko[[#This Row],[Luokka]]="Ei kuulu",KysymyksetTaulukko[[#This Row],[Toimiala-
kysymys]]="Ei kuulu"), "Ei kuulu", "Kuuluu")</f>
        <v>Ei kuulu</v>
      </c>
      <c r="J61" s="3" t="str">
        <f>IF(KysymyksetTaulukko[[#This Row],[Luokka + toimiala]]="Kuuluu","a) Oman vesilaitoksen kysymykset","b) Muut kysymykset")</f>
        <v>b) Muut kysymykset</v>
      </c>
      <c r="K61" s="125" t="s">
        <v>7</v>
      </c>
      <c r="L61" s="9" t="s">
        <v>70</v>
      </c>
      <c r="M61" s="61" t="str">
        <f>LEFT(KysymyksetTaulukko[[#This Row],[Alakategoria_]],2)</f>
        <v>4.</v>
      </c>
      <c r="N61" s="107" t="s">
        <v>11</v>
      </c>
      <c r="O61" s="70" t="s">
        <v>206</v>
      </c>
      <c r="P61" s="67" t="str">
        <f>IF(AND(KysymyksetTaulukko[[#This Row],[Luokka]]="Extra",KysymyksetTaulukko[[#This Row],[Luokka + toimiala]]="Kuuluu"),"Extra","")</f>
        <v/>
      </c>
      <c r="Q61" s="114"/>
      <c r="R61" s="64" t="s">
        <v>75</v>
      </c>
      <c r="S61" s="159"/>
      <c r="T61" s="123">
        <f>IF(AND(KysymyksetTaulukko[[#This Row],[Luokka + toimiala]]="Kuuluu",KysymyksetTaulukko[[#This Row],[Vastaus]]="Kyllä"),1,0)</f>
        <v>0</v>
      </c>
      <c r="U61" s="121">
        <f>IF(AND(KysymyksetTaulukko[[#This Row],[Maksimipisteet]]=1,NOT(ISBLANK(KysymyksetTaulukko[[#This Row],[Vastaus]]))),1,0)</f>
        <v>0</v>
      </c>
      <c r="V61" s="123">
        <f>IF(OR(KysymyksetTaulukko[[#This Row],[Luokka + toimiala]]="Ei kuulu",KysymyksetTaulukko[[#This Row],[Vastaus]]="Ei koske",KysymyksetTaulukko[[#This Row],[Luokka]]="Extra",KysymyksetTaulukko[[#This Row],[Otsikkorivi]]="Kyllä"),0,1)</f>
        <v>0</v>
      </c>
    </row>
    <row r="62" spans="1:22" ht="30" x14ac:dyDescent="0.25">
      <c r="A62" s="3" t="s">
        <v>12</v>
      </c>
      <c r="B62" s="3" t="str">
        <f>IF(ISNUMBER(SEARCH("," &amp; LV!$B$10 &amp; ",", "," &amp; SUBSTITUTE(A62, " ", "")&amp; ",")),
  "Kuuluu",
  IF(AND(LV!$B$10&gt;=2,
      LV!$B$10&lt;=4,
      OR(ISNUMBER(SEARCH("," &amp;(LV!$B$10+1)&amp; ",", "," &amp; SUBSTITUTE(A62, " ", "")&amp; ",")),
        ISNUMBER(SEARCH("," &amp;(LV!$B$10+2)&amp; ",", "," &amp; SUBSTITUTE(A62, " ", "")&amp; ",")),
        ISNUMBER(SEARCH("," &amp;(LV!$B$10+3)&amp; ",", "," &amp; SUBSTITUTE(A62, " ", "")&amp; ",")),
        ISNUMBER(SEARCH("," &amp;(LV!$B$10+4)&amp; ",", "," &amp; SUBSTITUTE(A62, " ", "")&amp; ",")),
        ISNUMBER(SEARCH("," &amp;(LV!$B$10+5)&amp; ",", "," &amp; SUBSTITUTE(A62, " ", "")&amp; ",")))),
    "Extra",
    "Ei kuulu"))</f>
        <v>Ei kuulu</v>
      </c>
      <c r="C62" s="3" t="s">
        <v>28</v>
      </c>
      <c r="D62" s="3" t="str">
        <f>IF(ISNUMBER(SEARCH(LV!$I$5, Turvallinen_ja_toimintavarma!C62)), "K", "E")</f>
        <v>E</v>
      </c>
      <c r="E62" s="3" t="str">
        <f>IF(ISNUMBER(SEARCH(LV!$I$6, Turvallinen_ja_toimintavarma!$C62)), "K", "E")</f>
        <v>E</v>
      </c>
      <c r="F62" s="3" t="str">
        <f>IF(ISNUMBER(SEARCH(LV!$I$7, Turvallinen_ja_toimintavarma!$C62)), "K", "E")</f>
        <v>E</v>
      </c>
      <c r="G62" s="3" t="str">
        <f>IF(ISNUMBER(SEARCH(LV!$I$8, Turvallinen_ja_toimintavarma!$C62)), "K", "E")</f>
        <v>E</v>
      </c>
      <c r="H62" s="3" t="str">
        <f>IF(OR(KysymyksetTaulukko[[#This Row],[Toimiala A]]="K",KysymyksetTaulukko[[#This Row],[Toimiala B]]="K",KysymyksetTaulukko[[#This Row],[Toimiala C]]="K",KysymyksetTaulukko[[#This Row],[Toimiala D]]="K"),"Kuuluu","Ei kuulu")</f>
        <v>Ei kuulu</v>
      </c>
      <c r="I62" s="3" t="str">
        <f>IF(OR(KysymyksetTaulukko[[#This Row],[Luokka]]="Ei kuulu",KysymyksetTaulukko[[#This Row],[Toimiala-
kysymys]]="Ei kuulu"), "Ei kuulu", "Kuuluu")</f>
        <v>Ei kuulu</v>
      </c>
      <c r="J62" s="3" t="str">
        <f>IF(KysymyksetTaulukko[[#This Row],[Luokka + toimiala]]="Kuuluu","a) Oman vesilaitoksen kysymykset","b) Muut kysymykset")</f>
        <v>b) Muut kysymykset</v>
      </c>
      <c r="K62" s="125" t="s">
        <v>7</v>
      </c>
      <c r="L62" s="9" t="s">
        <v>70</v>
      </c>
      <c r="M62" s="61" t="str">
        <f>LEFT(KysymyksetTaulukko[[#This Row],[Alakategoria_]],2)</f>
        <v>4.</v>
      </c>
      <c r="N62" s="107" t="s">
        <v>11</v>
      </c>
      <c r="O62" s="70" t="s">
        <v>206</v>
      </c>
      <c r="P62" s="67" t="str">
        <f>IF(AND(KysymyksetTaulukko[[#This Row],[Luokka]]="Extra",KysymyksetTaulukko[[#This Row],[Luokka + toimiala]]="Kuuluu"),"Extra","")</f>
        <v/>
      </c>
      <c r="Q62" s="114"/>
      <c r="R62" s="64" t="s">
        <v>76</v>
      </c>
      <c r="S62" s="159"/>
      <c r="T62" s="123">
        <f>IF(AND(KysymyksetTaulukko[[#This Row],[Luokka + toimiala]]="Kuuluu",KysymyksetTaulukko[[#This Row],[Vastaus]]="Kyllä"),1,0)</f>
        <v>0</v>
      </c>
      <c r="U62" s="121">
        <f>IF(AND(KysymyksetTaulukko[[#This Row],[Maksimipisteet]]=1,NOT(ISBLANK(KysymyksetTaulukko[[#This Row],[Vastaus]]))),1,0)</f>
        <v>0</v>
      </c>
      <c r="V62" s="123">
        <f>IF(OR(KysymyksetTaulukko[[#This Row],[Luokka + toimiala]]="Ei kuulu",KysymyksetTaulukko[[#This Row],[Vastaus]]="Ei koske",KysymyksetTaulukko[[#This Row],[Luokka]]="Extra",KysymyksetTaulukko[[#This Row],[Otsikkorivi]]="Kyllä"),0,1)</f>
        <v>0</v>
      </c>
    </row>
    <row r="63" spans="1:22" ht="28.5" x14ac:dyDescent="0.25">
      <c r="A63" s="3" t="s">
        <v>12</v>
      </c>
      <c r="B63" s="3" t="str">
        <f>IF(ISNUMBER(SEARCH("," &amp; LV!$B$10 &amp; ",", "," &amp; SUBSTITUTE(A63, " ", "")&amp; ",")),
  "Kuuluu",
  IF(AND(LV!$B$10&gt;=2,
      LV!$B$10&lt;=4,
      OR(ISNUMBER(SEARCH("," &amp;(LV!$B$10+1)&amp; ",", "," &amp; SUBSTITUTE(A63, " ", "")&amp; ",")),
        ISNUMBER(SEARCH("," &amp;(LV!$B$10+2)&amp; ",", "," &amp; SUBSTITUTE(A63, " ", "")&amp; ",")),
        ISNUMBER(SEARCH("," &amp;(LV!$B$10+3)&amp; ",", "," &amp; SUBSTITUTE(A63, " ", "")&amp; ",")),
        ISNUMBER(SEARCH("," &amp;(LV!$B$10+4)&amp; ",", "," &amp; SUBSTITUTE(A63, " ", "")&amp; ",")),
        ISNUMBER(SEARCH("," &amp;(LV!$B$10+5)&amp; ",", "," &amp; SUBSTITUTE(A63, " ", "")&amp; ",")))),
    "Extra",
    "Ei kuulu"))</f>
        <v>Ei kuulu</v>
      </c>
      <c r="C63" s="3" t="s">
        <v>28</v>
      </c>
      <c r="D63" s="3" t="str">
        <f>IF(ISNUMBER(SEARCH(LV!$I$5, Turvallinen_ja_toimintavarma!C63)), "K", "E")</f>
        <v>E</v>
      </c>
      <c r="E63" s="3" t="str">
        <f>IF(ISNUMBER(SEARCH(LV!$I$6, Turvallinen_ja_toimintavarma!$C63)), "K", "E")</f>
        <v>E</v>
      </c>
      <c r="F63" s="3" t="str">
        <f>IF(ISNUMBER(SEARCH(LV!$I$7, Turvallinen_ja_toimintavarma!$C63)), "K", "E")</f>
        <v>E</v>
      </c>
      <c r="G63" s="3" t="str">
        <f>IF(ISNUMBER(SEARCH(LV!$I$8, Turvallinen_ja_toimintavarma!$C63)), "K", "E")</f>
        <v>E</v>
      </c>
      <c r="H63" s="3" t="str">
        <f>IF(OR(KysymyksetTaulukko[[#This Row],[Toimiala A]]="K",KysymyksetTaulukko[[#This Row],[Toimiala B]]="K",KysymyksetTaulukko[[#This Row],[Toimiala C]]="K",KysymyksetTaulukko[[#This Row],[Toimiala D]]="K"),"Kuuluu","Ei kuulu")</f>
        <v>Ei kuulu</v>
      </c>
      <c r="I63" s="3" t="str">
        <f>IF(OR(KysymyksetTaulukko[[#This Row],[Luokka]]="Ei kuulu",KysymyksetTaulukko[[#This Row],[Toimiala-
kysymys]]="Ei kuulu"), "Ei kuulu", "Kuuluu")</f>
        <v>Ei kuulu</v>
      </c>
      <c r="J63" s="3" t="str">
        <f>IF(KysymyksetTaulukko[[#This Row],[Luokka + toimiala]]="Kuuluu","a) Oman vesilaitoksen kysymykset","b) Muut kysymykset")</f>
        <v>b) Muut kysymykset</v>
      </c>
      <c r="K63" s="125" t="s">
        <v>7</v>
      </c>
      <c r="L63" s="9" t="s">
        <v>70</v>
      </c>
      <c r="M63" s="61" t="str">
        <f>LEFT(KysymyksetTaulukko[[#This Row],[Alakategoria_]],2)</f>
        <v>4.</v>
      </c>
      <c r="N63" s="107" t="s">
        <v>11</v>
      </c>
      <c r="O63" s="70" t="s">
        <v>206</v>
      </c>
      <c r="P63" s="67" t="str">
        <f>IF(AND(KysymyksetTaulukko[[#This Row],[Luokka]]="Extra",KysymyksetTaulukko[[#This Row],[Luokka + toimiala]]="Kuuluu"),"Extra","")</f>
        <v/>
      </c>
      <c r="Q63" s="114"/>
      <c r="R63" s="64" t="s">
        <v>77</v>
      </c>
      <c r="S63" s="159"/>
      <c r="T63" s="123">
        <f>IF(AND(KysymyksetTaulukko[[#This Row],[Luokka + toimiala]]="Kuuluu",KysymyksetTaulukko[[#This Row],[Vastaus]]="Kyllä"),1,0)</f>
        <v>0</v>
      </c>
      <c r="U63" s="121">
        <f>IF(AND(KysymyksetTaulukko[[#This Row],[Maksimipisteet]]=1,NOT(ISBLANK(KysymyksetTaulukko[[#This Row],[Vastaus]]))),1,0)</f>
        <v>0</v>
      </c>
      <c r="V63" s="123">
        <f>IF(OR(KysymyksetTaulukko[[#This Row],[Luokka + toimiala]]="Ei kuulu",KysymyksetTaulukko[[#This Row],[Vastaus]]="Ei koske",KysymyksetTaulukko[[#This Row],[Luokka]]="Extra",KysymyksetTaulukko[[#This Row],[Otsikkorivi]]="Kyllä"),0,1)</f>
        <v>0</v>
      </c>
    </row>
    <row r="64" spans="1:22" ht="28.5" x14ac:dyDescent="0.25">
      <c r="A64" s="3" t="s">
        <v>19</v>
      </c>
      <c r="B64" s="3" t="str">
        <f>IF(ISNUMBER(SEARCH("," &amp; LV!$B$10 &amp; ",", "," &amp; SUBSTITUTE(A64, " ", "")&amp; ",")),
  "Kuuluu",
  IF(AND(LV!$B$10&gt;=2,
      LV!$B$10&lt;=4,
      OR(ISNUMBER(SEARCH("," &amp;(LV!$B$10+1)&amp; ",", "," &amp; SUBSTITUTE(A64, " ", "")&amp; ",")),
        ISNUMBER(SEARCH("," &amp;(LV!$B$10+2)&amp; ",", "," &amp; SUBSTITUTE(A64, " ", "")&amp; ",")),
        ISNUMBER(SEARCH("," &amp;(LV!$B$10+3)&amp; ",", "," &amp; SUBSTITUTE(A64, " ", "")&amp; ",")),
        ISNUMBER(SEARCH("," &amp;(LV!$B$10+4)&amp; ",", "," &amp; SUBSTITUTE(A64, " ", "")&amp; ",")),
        ISNUMBER(SEARCH("," &amp;(LV!$B$10+5)&amp; ",", "," &amp; SUBSTITUTE(A64, " ", "")&amp; ",")))),
    "Extra",
    "Ei kuulu"))</f>
        <v>Ei kuulu</v>
      </c>
      <c r="C64" s="3" t="s">
        <v>28</v>
      </c>
      <c r="D64" s="3" t="str">
        <f>IF(ISNUMBER(SEARCH(LV!$I$5, Turvallinen_ja_toimintavarma!C64)), "K", "E")</f>
        <v>E</v>
      </c>
      <c r="E64" s="3" t="str">
        <f>IF(ISNUMBER(SEARCH(LV!$I$6, Turvallinen_ja_toimintavarma!$C64)), "K", "E")</f>
        <v>E</v>
      </c>
      <c r="F64" s="3" t="str">
        <f>IF(ISNUMBER(SEARCH(LV!$I$7, Turvallinen_ja_toimintavarma!$C64)), "K", "E")</f>
        <v>E</v>
      </c>
      <c r="G64" s="3" t="str">
        <f>IF(ISNUMBER(SEARCH(LV!$I$8, Turvallinen_ja_toimintavarma!$C64)), "K", "E")</f>
        <v>E</v>
      </c>
      <c r="H64" s="3" t="str">
        <f>IF(OR(KysymyksetTaulukko[[#This Row],[Toimiala A]]="K",KysymyksetTaulukko[[#This Row],[Toimiala B]]="K",KysymyksetTaulukko[[#This Row],[Toimiala C]]="K",KysymyksetTaulukko[[#This Row],[Toimiala D]]="K"),"Kuuluu","Ei kuulu")</f>
        <v>Ei kuulu</v>
      </c>
      <c r="I64" s="3" t="str">
        <f>IF(OR(KysymyksetTaulukko[[#This Row],[Luokka]]="Ei kuulu",KysymyksetTaulukko[[#This Row],[Toimiala-
kysymys]]="Ei kuulu"), "Ei kuulu", "Kuuluu")</f>
        <v>Ei kuulu</v>
      </c>
      <c r="J64" s="3" t="str">
        <f>IF(KysymyksetTaulukko[[#This Row],[Luokka + toimiala]]="Kuuluu","a) Oman vesilaitoksen kysymykset","b) Muut kysymykset")</f>
        <v>b) Muut kysymykset</v>
      </c>
      <c r="K64" s="125" t="s">
        <v>7</v>
      </c>
      <c r="L64" s="9" t="s">
        <v>70</v>
      </c>
      <c r="M64" s="61" t="str">
        <f>LEFT(KysymyksetTaulukko[[#This Row],[Alakategoria_]],2)</f>
        <v>4.</v>
      </c>
      <c r="N64" s="107" t="s">
        <v>11</v>
      </c>
      <c r="O64" s="70" t="s">
        <v>206</v>
      </c>
      <c r="P64" s="67" t="str">
        <f>IF(AND(KysymyksetTaulukko[[#This Row],[Luokka]]="Extra",KysymyksetTaulukko[[#This Row],[Luokka + toimiala]]="Kuuluu"),"Extra","")</f>
        <v/>
      </c>
      <c r="Q64" s="114"/>
      <c r="R64" s="64" t="s">
        <v>78</v>
      </c>
      <c r="S64" s="159"/>
      <c r="T64" s="123">
        <f>IF(AND(KysymyksetTaulukko[[#This Row],[Luokka + toimiala]]="Kuuluu",KysymyksetTaulukko[[#This Row],[Vastaus]]="Kyllä"),1,0)</f>
        <v>0</v>
      </c>
      <c r="U64" s="121">
        <f>IF(AND(KysymyksetTaulukko[[#This Row],[Maksimipisteet]]=1,NOT(ISBLANK(KysymyksetTaulukko[[#This Row],[Vastaus]]))),1,0)</f>
        <v>0</v>
      </c>
      <c r="V64" s="123">
        <f>IF(OR(KysymyksetTaulukko[[#This Row],[Luokka + toimiala]]="Ei kuulu",KysymyksetTaulukko[[#This Row],[Vastaus]]="Ei koske",KysymyksetTaulukko[[#This Row],[Luokka]]="Extra",KysymyksetTaulukko[[#This Row],[Otsikkorivi]]="Kyllä"),0,1)</f>
        <v>0</v>
      </c>
    </row>
    <row r="65" spans="1:22" ht="28.5" x14ac:dyDescent="0.25">
      <c r="A65" s="3">
        <v>3.4</v>
      </c>
      <c r="B65" s="3" t="str">
        <f>IF(ISNUMBER(SEARCH("," &amp; LV!$B$10 &amp; ",", "," &amp; SUBSTITUTE(A65, " ", "")&amp; ",")),
  "Kuuluu",
  IF(AND(LV!$B$10&gt;=2,
      LV!$B$10&lt;=4,
      OR(ISNUMBER(SEARCH("," &amp;(LV!$B$10+1)&amp; ",", "," &amp; SUBSTITUTE(A65, " ", "")&amp; ",")),
        ISNUMBER(SEARCH("," &amp;(LV!$B$10+2)&amp; ",", "," &amp; SUBSTITUTE(A65, " ", "")&amp; ",")),
        ISNUMBER(SEARCH("," &amp;(LV!$B$10+3)&amp; ",", "," &amp; SUBSTITUTE(A65, " ", "")&amp; ",")),
        ISNUMBER(SEARCH("," &amp;(LV!$B$10+4)&amp; ",", "," &amp; SUBSTITUTE(A65, " ", "")&amp; ",")),
        ISNUMBER(SEARCH("," &amp;(LV!$B$10+5)&amp; ",", "," &amp; SUBSTITUTE(A65, " ", "")&amp; ",")))),
    "Extra",
    "Ei kuulu"))</f>
        <v>Ei kuulu</v>
      </c>
      <c r="C65" s="3" t="s">
        <v>28</v>
      </c>
      <c r="D65" s="3" t="str">
        <f>IF(ISNUMBER(SEARCH(LV!$I$5, Turvallinen_ja_toimintavarma!C65)), "K", "E")</f>
        <v>E</v>
      </c>
      <c r="E65" s="3" t="str">
        <f>IF(ISNUMBER(SEARCH(LV!$I$6, Turvallinen_ja_toimintavarma!$C65)), "K", "E")</f>
        <v>E</v>
      </c>
      <c r="F65" s="3" t="str">
        <f>IF(ISNUMBER(SEARCH(LV!$I$7, Turvallinen_ja_toimintavarma!$C65)), "K", "E")</f>
        <v>E</v>
      </c>
      <c r="G65" s="3" t="str">
        <f>IF(ISNUMBER(SEARCH(LV!$I$8, Turvallinen_ja_toimintavarma!$C65)), "K", "E")</f>
        <v>E</v>
      </c>
      <c r="H65" s="3" t="str">
        <f>IF(OR(KysymyksetTaulukko[[#This Row],[Toimiala A]]="K",KysymyksetTaulukko[[#This Row],[Toimiala B]]="K",KysymyksetTaulukko[[#This Row],[Toimiala C]]="K",KysymyksetTaulukko[[#This Row],[Toimiala D]]="K"),"Kuuluu","Ei kuulu")</f>
        <v>Ei kuulu</v>
      </c>
      <c r="I65" s="3" t="str">
        <f>IF(OR(KysymyksetTaulukko[[#This Row],[Luokka]]="Ei kuulu",KysymyksetTaulukko[[#This Row],[Toimiala-
kysymys]]="Ei kuulu"), "Ei kuulu", "Kuuluu")</f>
        <v>Ei kuulu</v>
      </c>
      <c r="J65" s="3" t="str">
        <f>IF(KysymyksetTaulukko[[#This Row],[Luokka + toimiala]]="Kuuluu","a) Oman vesilaitoksen kysymykset","b) Muut kysymykset")</f>
        <v>b) Muut kysymykset</v>
      </c>
      <c r="K65" s="125" t="s">
        <v>7</v>
      </c>
      <c r="L65" s="9" t="s">
        <v>70</v>
      </c>
      <c r="M65" s="61" t="str">
        <f>LEFT(KysymyksetTaulukko[[#This Row],[Alakategoria_]],2)</f>
        <v>4.</v>
      </c>
      <c r="N65" s="107" t="s">
        <v>11</v>
      </c>
      <c r="O65" s="70" t="s">
        <v>206</v>
      </c>
      <c r="P65" s="67" t="str">
        <f>IF(AND(KysymyksetTaulukko[[#This Row],[Luokka]]="Extra",KysymyksetTaulukko[[#This Row],[Luokka + toimiala]]="Kuuluu"),"Extra","")</f>
        <v/>
      </c>
      <c r="Q65" s="114"/>
      <c r="R65" s="64" t="s">
        <v>79</v>
      </c>
      <c r="S65" s="159"/>
      <c r="T65" s="123">
        <f>IF(AND(KysymyksetTaulukko[[#This Row],[Luokka + toimiala]]="Kuuluu",KysymyksetTaulukko[[#This Row],[Vastaus]]="Kyllä"),1,0)</f>
        <v>0</v>
      </c>
      <c r="U65" s="121">
        <f>IF(AND(KysymyksetTaulukko[[#This Row],[Maksimipisteet]]=1,NOT(ISBLANK(KysymyksetTaulukko[[#This Row],[Vastaus]]))),1,0)</f>
        <v>0</v>
      </c>
      <c r="V65" s="123">
        <f>IF(OR(KysymyksetTaulukko[[#This Row],[Luokka + toimiala]]="Ei kuulu",KysymyksetTaulukko[[#This Row],[Vastaus]]="Ei koske",KysymyksetTaulukko[[#This Row],[Luokka]]="Extra",KysymyksetTaulukko[[#This Row],[Otsikkorivi]]="Kyllä"),0,1)</f>
        <v>0</v>
      </c>
    </row>
    <row r="66" spans="1:22" x14ac:dyDescent="0.25">
      <c r="S66" s="18"/>
      <c r="V66" s="6"/>
    </row>
    <row r="67" spans="1:22" x14ac:dyDescent="0.25">
      <c r="S67" s="18"/>
      <c r="V67" s="6"/>
    </row>
  </sheetData>
  <phoneticPr fontId="5" type="noConversion"/>
  <conditionalFormatting sqref="R5:R65">
    <cfRule type="expression" dxfId="31" priority="28">
      <formula>I5="Ei kuulu"</formula>
    </cfRule>
    <cfRule type="expression" dxfId="30" priority="29">
      <formula>P5="Extra"</formula>
    </cfRule>
  </conditionalFormatting>
  <conditionalFormatting sqref="S5:S65">
    <cfRule type="expression" dxfId="29" priority="30">
      <formula>AND(P5="Extra",NOT(ISBLANK(S5)))</formula>
    </cfRule>
    <cfRule type="expression" dxfId="28" priority="31">
      <formula>NOT(ISBLANK($S5))</formula>
    </cfRule>
    <cfRule type="expression" dxfId="27" priority="32">
      <formula>I5="Ei kuulu"</formula>
    </cfRule>
  </conditionalFormatting>
  <hyperlinks>
    <hyperlink ref="S1" location="Ohje!A1" tooltip="Klikkaa tästä niin pääset lukemaan ohjeita toiselta välilehdeltä." display="Ohje" xr:uid="{AD4353E0-C54B-4DB3-8609-0B1D5574EA5E}"/>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6B9A2B-3B64-42AA-907B-4D700A817EB1}">
          <x14:formula1>
            <xm:f>LV!$B$30:$B$32</xm:f>
          </x14:formula1>
          <xm:sqref>S6:S16 S18:S42 S44:S55 S57:S65</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25D0-753A-4B33-BB3E-9965B99577D9}">
  <sheetPr>
    <tabColor rgb="FFD0EF67"/>
  </sheetPr>
  <dimension ref="A1:AH47"/>
  <sheetViews>
    <sheetView showGridLines="0" topLeftCell="R1" zoomScale="145" zoomScaleNormal="145" workbookViewId="0">
      <pane ySplit="4" topLeftCell="A18" activePane="bottomLeft" state="frozen"/>
      <selection activeCell="B1" sqref="B1"/>
      <selection pane="bottomLeft" activeCell="R19" sqref="R19"/>
    </sheetView>
  </sheetViews>
  <sheetFormatPr defaultColWidth="8.85546875" defaultRowHeight="15" x14ac:dyDescent="0.25"/>
  <cols>
    <col min="1" max="1" width="8.140625" style="6" hidden="1" customWidth="1"/>
    <col min="2" max="2" width="11.42578125" style="6" hidden="1" customWidth="1"/>
    <col min="3" max="3" width="11.85546875" style="6" hidden="1" customWidth="1"/>
    <col min="4" max="7" width="7.5703125" style="6" hidden="1" customWidth="1"/>
    <col min="8" max="10" width="9.42578125" style="6" hidden="1" customWidth="1"/>
    <col min="11" max="11" width="28" style="9" hidden="1" customWidth="1"/>
    <col min="12" max="12" width="90.5703125" style="9" hidden="1" customWidth="1"/>
    <col min="13" max="13" width="8.85546875" style="12" hidden="1" customWidth="1"/>
    <col min="14" max="14" width="8.85546875" style="17" hidden="1" customWidth="1"/>
    <col min="15" max="15" width="8.85546875" style="17" customWidth="1"/>
    <col min="16" max="16" width="9.42578125" style="16" customWidth="1"/>
    <col min="17" max="17" width="9.42578125" style="16" hidden="1" customWidth="1"/>
    <col min="18" max="18" width="119.5703125" style="2" customWidth="1"/>
    <col min="19" max="19" width="8.85546875" style="16"/>
    <col min="20" max="22" width="8.85546875" style="18" hidden="1" customWidth="1"/>
    <col min="23" max="16384" width="8.85546875" style="6"/>
  </cols>
  <sheetData>
    <row r="1" spans="1:34" x14ac:dyDescent="0.25">
      <c r="O1" s="119"/>
      <c r="P1" s="120"/>
      <c r="Q1" s="120"/>
      <c r="R1" s="131"/>
      <c r="S1" s="160" t="s">
        <v>269</v>
      </c>
      <c r="W1" s="129"/>
      <c r="X1" s="129"/>
      <c r="Y1" s="129"/>
      <c r="Z1" s="129"/>
      <c r="AA1" s="129"/>
      <c r="AB1" s="129"/>
      <c r="AC1" s="129"/>
      <c r="AD1" s="129"/>
      <c r="AE1" s="129"/>
      <c r="AF1" s="129"/>
      <c r="AG1" s="129"/>
      <c r="AH1" s="129"/>
    </row>
    <row r="2" spans="1:34" ht="20.25" x14ac:dyDescent="0.3">
      <c r="A2" s="129"/>
      <c r="B2" s="129"/>
      <c r="C2" s="129"/>
      <c r="D2" s="129"/>
      <c r="E2" s="129"/>
      <c r="F2" s="129"/>
      <c r="G2" s="129"/>
      <c r="H2" s="129"/>
      <c r="I2" s="129"/>
      <c r="J2" s="129"/>
      <c r="K2" s="130"/>
      <c r="L2" s="130"/>
      <c r="M2" s="118"/>
      <c r="N2" s="119"/>
      <c r="O2" s="119"/>
      <c r="P2" s="139" t="s">
        <v>80</v>
      </c>
      <c r="Q2" s="120"/>
      <c r="R2" s="131"/>
      <c r="S2" s="120"/>
      <c r="W2" s="129"/>
      <c r="X2" s="129"/>
      <c r="Y2" s="129"/>
      <c r="Z2" s="129"/>
      <c r="AA2" s="129"/>
      <c r="AB2" s="129"/>
      <c r="AC2" s="129"/>
      <c r="AD2" s="129"/>
      <c r="AE2" s="129"/>
      <c r="AF2" s="129"/>
      <c r="AG2" s="129"/>
      <c r="AH2" s="129"/>
    </row>
    <row r="3" spans="1:34" ht="19.7" customHeight="1" x14ac:dyDescent="0.25">
      <c r="M3" s="118"/>
      <c r="N3" s="119"/>
      <c r="O3" s="119"/>
      <c r="P3" s="120"/>
      <c r="Q3" s="120"/>
      <c r="R3" s="143" t="str">
        <f>'TEKNINEN - TulostenLasku'!$C$52</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25">
      <c r="A4" s="71" t="s">
        <v>176</v>
      </c>
      <c r="B4" s="71" t="s">
        <v>0</v>
      </c>
      <c r="C4" s="71"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30" x14ac:dyDescent="0.2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Kustannustehokas_ja_organisoitu!C5)), "K", "E")</f>
        <v>E</v>
      </c>
      <c r="E5" s="3" t="str">
        <f>IF(ISNUMBER(SEARCH(LV!$I$6, Kustannustehokas_ja_organisoitu!$C5)), "K", "E")</f>
        <v>E</v>
      </c>
      <c r="F5" s="3" t="str">
        <f>IF(ISNUMBER(SEARCH(LV!$I$7, Kustannustehokas_ja_organisoitu!$C5)), "K", "E")</f>
        <v>E</v>
      </c>
      <c r="G5" s="3" t="str">
        <f>IF(ISNUMBER(SEARCH(LV!$I$8, Kustannustehokas_ja_organisoitu!$C5)), "K", "E")</f>
        <v>E</v>
      </c>
      <c r="H5" s="3" t="str">
        <f>IF(OR(KysymyksetTaulukko2[[#This Row],[Toimiala A]]="K",KysymyksetTaulukko2[[#This Row],[Toimiala B]]="K",KysymyksetTaulukko2[[#This Row],[Toimiala C]]="K",KysymyksetTaulukko2[[#This Row],[Toimiala D]]="K"),"Kuuluu","Ei kuulu")</f>
        <v>Ei kuulu</v>
      </c>
      <c r="I5" s="3" t="str">
        <f>IF(OR(KysymyksetTaulukko2[[#This Row],[Luokka]]="Ei kuulu",KysymyksetTaulukko2[[#This Row],[Toimiala-
kysymys]]="Ei kuulu"), "Ei kuulu", "Kuuluu")</f>
        <v>Ei kuulu</v>
      </c>
      <c r="J5" s="3" t="str">
        <f>IF(KysymyksetTaulukko2[[#This Row],[Luokka + toimiala]]="Kuuluu","a) Oman vesilaitoksen kysymykset","b) Muut kysymykset")</f>
        <v>b) Muut kysymykset</v>
      </c>
      <c r="K5" s="9" t="s">
        <v>80</v>
      </c>
      <c r="L5" s="9" t="s">
        <v>241</v>
      </c>
      <c r="M5" s="61" t="str">
        <f>LEFT(KysymyksetTaulukko2[[#This Row],[Alakategoria_]],2)</f>
        <v>_O</v>
      </c>
      <c r="N5" s="107"/>
      <c r="O5" s="70"/>
      <c r="P5" s="67" t="str">
        <f>IF(AND(KysymyksetTaulukko2[[#This Row],[Luokka]]="Extra",KysymyksetTaulukko2[[#This Row],[Luokka + toimiala]]="Kuuluu"),"Extra","")</f>
        <v/>
      </c>
      <c r="Q5" s="114" t="s">
        <v>177</v>
      </c>
      <c r="R5" s="128" t="s">
        <v>81</v>
      </c>
      <c r="S5" s="158"/>
      <c r="T5" s="123">
        <f>IF(AND(KysymyksetTaulukko2[[#This Row],[Luokka + toimiala]]="Kuuluu",KysymyksetTaulukko2[[#This Row],[Vastaus]]="Kyllä"),1,0)</f>
        <v>0</v>
      </c>
      <c r="U5" s="121">
        <f>IF(AND(KysymyksetTaulukko2[[#This Row],[Maksimipisteet]]=1,NOT(ISBLANK(KysymyksetTaulukko2[[#This Row],[Vastaus]]))),1,0)</f>
        <v>0</v>
      </c>
      <c r="V5" s="123">
        <f>IF(OR(KysymyksetTaulukko2[[#This Row],[Luokka + toimiala]]="Ei kuulu",KysymyksetTaulukko2[[#This Row],[Vastaus]]="Ei koske",KysymyksetTaulukko2[[#This Row],[Luokka]]="Extra",KysymyksetTaulukko2[[#This Row],[Otsikkorivi]]="Kyllä"),0,1)</f>
        <v>0</v>
      </c>
    </row>
    <row r="6" spans="1:34" ht="30" x14ac:dyDescent="0.25">
      <c r="A6" s="3" t="s">
        <v>12</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28</v>
      </c>
      <c r="D6" s="3" t="str">
        <f>IF(ISNUMBER(SEARCH(LV!$I$5, Kustannustehokas_ja_organisoitu!C6)), "K", "E")</f>
        <v>E</v>
      </c>
      <c r="E6" s="3" t="str">
        <f>IF(ISNUMBER(SEARCH(LV!$I$6, Kustannustehokas_ja_organisoitu!$C6)), "K", "E")</f>
        <v>E</v>
      </c>
      <c r="F6" s="3" t="str">
        <f>IF(ISNUMBER(SEARCH(LV!$I$7, Kustannustehokas_ja_organisoitu!$C6)), "K", "E")</f>
        <v>E</v>
      </c>
      <c r="G6" s="3" t="str">
        <f>IF(ISNUMBER(SEARCH(LV!$I$8, Kustannustehokas_ja_organisoitu!$C6)), "K", "E")</f>
        <v>E</v>
      </c>
      <c r="H6" s="3" t="str">
        <f>IF(OR(KysymyksetTaulukko2[[#This Row],[Toimiala A]]="K",KysymyksetTaulukko2[[#This Row],[Toimiala B]]="K",KysymyksetTaulukko2[[#This Row],[Toimiala C]]="K",KysymyksetTaulukko2[[#This Row],[Toimiala D]]="K"),"Kuuluu","Ei kuulu")</f>
        <v>Ei kuulu</v>
      </c>
      <c r="I6" s="3" t="str">
        <f>IF(OR(KysymyksetTaulukko2[[#This Row],[Luokka]]="Ei kuulu",KysymyksetTaulukko2[[#This Row],[Toimiala-
kysymys]]="Ei kuulu"), "Ei kuulu", "Kuuluu")</f>
        <v>Ei kuulu</v>
      </c>
      <c r="J6" s="3" t="str">
        <f>IF(KysymyksetTaulukko2[[#This Row],[Luokka + toimiala]]="Kuuluu","a) Oman vesilaitoksen kysymykset","b) Muut kysymykset")</f>
        <v>b) Muut kysymykset</v>
      </c>
      <c r="K6" s="9" t="s">
        <v>80</v>
      </c>
      <c r="L6" s="9" t="s">
        <v>81</v>
      </c>
      <c r="M6" s="61" t="str">
        <f>LEFT(KysymyksetTaulukko2[[#This Row],[Alakategoria_]],2)</f>
        <v>5.</v>
      </c>
      <c r="N6" s="107"/>
      <c r="O6" s="70" t="s">
        <v>222</v>
      </c>
      <c r="P6" s="67" t="str">
        <f>IF(AND(KysymyksetTaulukko2[[#This Row],[Luokka]]="Extra",KysymyksetTaulukko2[[#This Row],[Luokka + toimiala]]="Kuuluu"),"Extra","")</f>
        <v/>
      </c>
      <c r="Q6" s="114"/>
      <c r="R6" s="64" t="s">
        <v>82</v>
      </c>
      <c r="S6" s="159"/>
      <c r="T6" s="123">
        <f>IF(AND(KysymyksetTaulukko2[[#This Row],[Luokka + toimiala]]="Kuuluu",KysymyksetTaulukko2[[#This Row],[Vastaus]]="Kyllä"),1,0)</f>
        <v>0</v>
      </c>
      <c r="U6" s="121">
        <f>IF(AND(KysymyksetTaulukko2[[#This Row],[Maksimipisteet]]=1,NOT(ISBLANK(KysymyksetTaulukko2[[#This Row],[Vastaus]]))),1,0)</f>
        <v>0</v>
      </c>
      <c r="V6" s="123">
        <f>IF(OR(KysymyksetTaulukko2[[#This Row],[Luokka + toimiala]]="Ei kuulu",KysymyksetTaulukko2[[#This Row],[Vastaus]]="Ei koske",KysymyksetTaulukko2[[#This Row],[Luokka]]="Extra",KysymyksetTaulukko2[[#This Row],[Otsikkorivi]]="Kyllä"),0,1)</f>
        <v>0</v>
      </c>
    </row>
    <row r="7" spans="1:34" ht="30" x14ac:dyDescent="0.2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28</v>
      </c>
      <c r="D7" s="3" t="str">
        <f>IF(ISNUMBER(SEARCH(LV!$I$5, Kustannustehokas_ja_organisoitu!C7)), "K", "E")</f>
        <v>E</v>
      </c>
      <c r="E7" s="3" t="str">
        <f>IF(ISNUMBER(SEARCH(LV!$I$6, Kustannustehokas_ja_organisoitu!$C7)), "K", "E")</f>
        <v>E</v>
      </c>
      <c r="F7" s="3" t="str">
        <f>IF(ISNUMBER(SEARCH(LV!$I$7, Kustannustehokas_ja_organisoitu!$C7)), "K", "E")</f>
        <v>E</v>
      </c>
      <c r="G7" s="3" t="str">
        <f>IF(ISNUMBER(SEARCH(LV!$I$8, Kustannustehokas_ja_organisoitu!$C7)), "K", "E")</f>
        <v>E</v>
      </c>
      <c r="H7" s="3" t="str">
        <f>IF(OR(KysymyksetTaulukko2[[#This Row],[Toimiala A]]="K",KysymyksetTaulukko2[[#This Row],[Toimiala B]]="K",KysymyksetTaulukko2[[#This Row],[Toimiala C]]="K",KysymyksetTaulukko2[[#This Row],[Toimiala D]]="K"),"Kuuluu","Ei kuulu")</f>
        <v>Ei kuulu</v>
      </c>
      <c r="I7" s="3" t="str">
        <f>IF(OR(KysymyksetTaulukko2[[#This Row],[Luokka]]="Ei kuulu",KysymyksetTaulukko2[[#This Row],[Toimiala-
kysymys]]="Ei kuulu"), "Ei kuulu", "Kuuluu")</f>
        <v>Ei kuulu</v>
      </c>
      <c r="J7" s="3" t="str">
        <f>IF(KysymyksetTaulukko2[[#This Row],[Luokka + toimiala]]="Kuuluu","a) Oman vesilaitoksen kysymykset","b) Muut kysymykset")</f>
        <v>b) Muut kysymykset</v>
      </c>
      <c r="K7" s="9" t="s">
        <v>80</v>
      </c>
      <c r="L7" s="9" t="s">
        <v>81</v>
      </c>
      <c r="M7" s="61" t="str">
        <f>LEFT(KysymyksetTaulukko2[[#This Row],[Alakategoria_]],2)</f>
        <v>5.</v>
      </c>
      <c r="N7" s="107" t="s">
        <v>11</v>
      </c>
      <c r="O7" s="70" t="s">
        <v>206</v>
      </c>
      <c r="P7" s="67" t="str">
        <f>IF(AND(KysymyksetTaulukko2[[#This Row],[Luokka]]="Extra",KysymyksetTaulukko2[[#This Row],[Luokka + toimiala]]="Kuuluu"),"Extra","")</f>
        <v/>
      </c>
      <c r="Q7" s="114"/>
      <c r="R7" s="64" t="s">
        <v>83</v>
      </c>
      <c r="S7" s="159"/>
      <c r="T7" s="123">
        <f>IF(AND(KysymyksetTaulukko2[[#This Row],[Luokka + toimiala]]="Kuuluu",KysymyksetTaulukko2[[#This Row],[Vastaus]]="Kyllä"),1,0)</f>
        <v>0</v>
      </c>
      <c r="U7" s="121">
        <f>IF(AND(KysymyksetTaulukko2[[#This Row],[Maksimipisteet]]=1,NOT(ISBLANK(KysymyksetTaulukko2[[#This Row],[Vastaus]]))),1,0)</f>
        <v>0</v>
      </c>
      <c r="V7" s="123">
        <f>IF(OR(KysymyksetTaulukko2[[#This Row],[Luokka + toimiala]]="Ei kuulu",KysymyksetTaulukko2[[#This Row],[Vastaus]]="Ei koske",KysymyksetTaulukko2[[#This Row],[Luokka]]="Extra",KysymyksetTaulukko2[[#This Row],[Otsikkorivi]]="Kyllä"),0,1)</f>
        <v>0</v>
      </c>
    </row>
    <row r="8" spans="1:34" ht="30" x14ac:dyDescent="0.2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28</v>
      </c>
      <c r="D8" s="3" t="str">
        <f>IF(ISNUMBER(SEARCH(LV!$I$5, Kustannustehokas_ja_organisoitu!C8)), "K", "E")</f>
        <v>E</v>
      </c>
      <c r="E8" s="3" t="str">
        <f>IF(ISNUMBER(SEARCH(LV!$I$6, Kustannustehokas_ja_organisoitu!$C8)), "K", "E")</f>
        <v>E</v>
      </c>
      <c r="F8" s="3" t="str">
        <f>IF(ISNUMBER(SEARCH(LV!$I$7, Kustannustehokas_ja_organisoitu!$C8)), "K", "E")</f>
        <v>E</v>
      </c>
      <c r="G8" s="3" t="str">
        <f>IF(ISNUMBER(SEARCH(LV!$I$8, Kustannustehokas_ja_organisoitu!$C8)), "K", "E")</f>
        <v>E</v>
      </c>
      <c r="H8" s="3" t="str">
        <f>IF(OR(KysymyksetTaulukko2[[#This Row],[Toimiala A]]="K",KysymyksetTaulukko2[[#This Row],[Toimiala B]]="K",KysymyksetTaulukko2[[#This Row],[Toimiala C]]="K",KysymyksetTaulukko2[[#This Row],[Toimiala D]]="K"),"Kuuluu","Ei kuulu")</f>
        <v>Ei kuulu</v>
      </c>
      <c r="I8" s="3" t="str">
        <f>IF(OR(KysymyksetTaulukko2[[#This Row],[Luokka]]="Ei kuulu",KysymyksetTaulukko2[[#This Row],[Toimiala-
kysymys]]="Ei kuulu"), "Ei kuulu", "Kuuluu")</f>
        <v>Ei kuulu</v>
      </c>
      <c r="J8" s="3" t="str">
        <f>IF(KysymyksetTaulukko2[[#This Row],[Luokka + toimiala]]="Kuuluu","a) Oman vesilaitoksen kysymykset","b) Muut kysymykset")</f>
        <v>b) Muut kysymykset</v>
      </c>
      <c r="K8" s="9" t="s">
        <v>80</v>
      </c>
      <c r="L8" s="9" t="s">
        <v>81</v>
      </c>
      <c r="M8" s="61" t="str">
        <f>LEFT(KysymyksetTaulukko2[[#This Row],[Alakategoria_]],2)</f>
        <v>5.</v>
      </c>
      <c r="N8" s="107" t="s">
        <v>11</v>
      </c>
      <c r="O8" s="70" t="s">
        <v>206</v>
      </c>
      <c r="P8" s="67" t="str">
        <f>IF(AND(KysymyksetTaulukko2[[#This Row],[Luokka]]="Extra",KysymyksetTaulukko2[[#This Row],[Luokka + toimiala]]="Kuuluu"),"Extra","")</f>
        <v/>
      </c>
      <c r="Q8" s="114"/>
      <c r="R8" s="64" t="s">
        <v>84</v>
      </c>
      <c r="S8" s="159"/>
      <c r="T8" s="123">
        <f>IF(AND(KysymyksetTaulukko2[[#This Row],[Luokka + toimiala]]="Kuuluu",KysymyksetTaulukko2[[#This Row],[Vastaus]]="Kyllä"),1,0)</f>
        <v>0</v>
      </c>
      <c r="U8" s="121">
        <f>IF(AND(KysymyksetTaulukko2[[#This Row],[Maksimipisteet]]=1,NOT(ISBLANK(KysymyksetTaulukko2[[#This Row],[Vastaus]]))),1,0)</f>
        <v>0</v>
      </c>
      <c r="V8" s="123">
        <f>IF(OR(KysymyksetTaulukko2[[#This Row],[Luokka + toimiala]]="Ei kuulu",KysymyksetTaulukko2[[#This Row],[Vastaus]]="Ei koske",KysymyksetTaulukko2[[#This Row],[Luokka]]="Extra",KysymyksetTaulukko2[[#This Row],[Otsikkorivi]]="Kyllä"),0,1)</f>
        <v>0</v>
      </c>
    </row>
    <row r="9" spans="1:34" ht="30" x14ac:dyDescent="0.2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28</v>
      </c>
      <c r="D9" s="3" t="str">
        <f>IF(ISNUMBER(SEARCH(LV!$I$5, Kustannustehokas_ja_organisoitu!C9)), "K", "E")</f>
        <v>E</v>
      </c>
      <c r="E9" s="3" t="str">
        <f>IF(ISNUMBER(SEARCH(LV!$I$6, Kustannustehokas_ja_organisoitu!$C9)), "K", "E")</f>
        <v>E</v>
      </c>
      <c r="F9" s="3" t="str">
        <f>IF(ISNUMBER(SEARCH(LV!$I$7, Kustannustehokas_ja_organisoitu!$C9)), "K", "E")</f>
        <v>E</v>
      </c>
      <c r="G9" s="3" t="str">
        <f>IF(ISNUMBER(SEARCH(LV!$I$8, Kustannustehokas_ja_organisoitu!$C9)), "K", "E")</f>
        <v>E</v>
      </c>
      <c r="H9" s="3" t="str">
        <f>IF(OR(KysymyksetTaulukko2[[#This Row],[Toimiala A]]="K",KysymyksetTaulukko2[[#This Row],[Toimiala B]]="K",KysymyksetTaulukko2[[#This Row],[Toimiala C]]="K",KysymyksetTaulukko2[[#This Row],[Toimiala D]]="K"),"Kuuluu","Ei kuulu")</f>
        <v>Ei kuulu</v>
      </c>
      <c r="I9" s="3" t="str">
        <f>IF(OR(KysymyksetTaulukko2[[#This Row],[Luokka]]="Ei kuulu",KysymyksetTaulukko2[[#This Row],[Toimiala-
kysymys]]="Ei kuulu"), "Ei kuulu", "Kuuluu")</f>
        <v>Ei kuulu</v>
      </c>
      <c r="J9" s="3" t="str">
        <f>IF(KysymyksetTaulukko2[[#This Row],[Luokka + toimiala]]="Kuuluu","a) Oman vesilaitoksen kysymykset","b) Muut kysymykset")</f>
        <v>b) Muut kysymykset</v>
      </c>
      <c r="K9" s="9" t="s">
        <v>80</v>
      </c>
      <c r="L9" s="9" t="s">
        <v>81</v>
      </c>
      <c r="M9" s="61" t="str">
        <f>LEFT(KysymyksetTaulukko2[[#This Row],[Alakategoria_]],2)</f>
        <v>5.</v>
      </c>
      <c r="N9" s="107" t="s">
        <v>11</v>
      </c>
      <c r="O9" s="70" t="s">
        <v>206</v>
      </c>
      <c r="P9" s="67" t="str">
        <f>IF(AND(KysymyksetTaulukko2[[#This Row],[Luokka]]="Extra",KysymyksetTaulukko2[[#This Row],[Luokka + toimiala]]="Kuuluu"),"Extra","")</f>
        <v/>
      </c>
      <c r="Q9" s="114"/>
      <c r="R9" s="64" t="s">
        <v>85</v>
      </c>
      <c r="S9" s="159"/>
      <c r="T9" s="123">
        <f>IF(AND(KysymyksetTaulukko2[[#This Row],[Luokka + toimiala]]="Kuuluu",KysymyksetTaulukko2[[#This Row],[Vastaus]]="Kyllä"),1,0)</f>
        <v>0</v>
      </c>
      <c r="U9" s="121">
        <f>IF(AND(KysymyksetTaulukko2[[#This Row],[Maksimipisteet]]=1,NOT(ISBLANK(KysymyksetTaulukko2[[#This Row],[Vastaus]]))),1,0)</f>
        <v>0</v>
      </c>
      <c r="V9" s="123">
        <f>IF(OR(KysymyksetTaulukko2[[#This Row],[Luokka + toimiala]]="Ei kuulu",KysymyksetTaulukko2[[#This Row],[Vastaus]]="Ei koske",KysymyksetTaulukko2[[#This Row],[Luokka]]="Extra",KysymyksetTaulukko2[[#This Row],[Otsikkorivi]]="Kyllä"),0,1)</f>
        <v>0</v>
      </c>
    </row>
    <row r="10" spans="1:34" ht="30" x14ac:dyDescent="0.25">
      <c r="A10" s="3" t="s">
        <v>12</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28</v>
      </c>
      <c r="D10" s="3" t="str">
        <f>IF(ISNUMBER(SEARCH(LV!$I$5, Kustannustehokas_ja_organisoitu!C10)), "K", "E")</f>
        <v>E</v>
      </c>
      <c r="E10" s="3" t="str">
        <f>IF(ISNUMBER(SEARCH(LV!$I$6, Kustannustehokas_ja_organisoitu!$C10)), "K", "E")</f>
        <v>E</v>
      </c>
      <c r="F10" s="3" t="str">
        <f>IF(ISNUMBER(SEARCH(LV!$I$7, Kustannustehokas_ja_organisoitu!$C10)), "K", "E")</f>
        <v>E</v>
      </c>
      <c r="G10" s="3" t="str">
        <f>IF(ISNUMBER(SEARCH(LV!$I$8, Kustannustehokas_ja_organisoitu!$C10)), "K", "E")</f>
        <v>E</v>
      </c>
      <c r="H10" s="3" t="str">
        <f>IF(OR(KysymyksetTaulukko2[[#This Row],[Toimiala A]]="K",KysymyksetTaulukko2[[#This Row],[Toimiala B]]="K",KysymyksetTaulukko2[[#This Row],[Toimiala C]]="K",KysymyksetTaulukko2[[#This Row],[Toimiala D]]="K"),"Kuuluu","Ei kuulu")</f>
        <v>Ei kuulu</v>
      </c>
      <c r="I10" s="3" t="str">
        <f>IF(OR(KysymyksetTaulukko2[[#This Row],[Luokka]]="Ei kuulu",KysymyksetTaulukko2[[#This Row],[Toimiala-
kysymys]]="Ei kuulu"), "Ei kuulu", "Kuuluu")</f>
        <v>Ei kuulu</v>
      </c>
      <c r="J10" s="3" t="str">
        <f>IF(KysymyksetTaulukko2[[#This Row],[Luokka + toimiala]]="Kuuluu","a) Oman vesilaitoksen kysymykset","b) Muut kysymykset")</f>
        <v>b) Muut kysymykset</v>
      </c>
      <c r="K10" s="9" t="s">
        <v>80</v>
      </c>
      <c r="L10" s="9" t="s">
        <v>81</v>
      </c>
      <c r="M10" s="61" t="str">
        <f>LEFT(KysymyksetTaulukko2[[#This Row],[Alakategoria_]],2)</f>
        <v>5.</v>
      </c>
      <c r="N10" s="107" t="s">
        <v>11</v>
      </c>
      <c r="O10" s="70" t="s">
        <v>206</v>
      </c>
      <c r="P10" s="67" t="str">
        <f>IF(AND(KysymyksetTaulukko2[[#This Row],[Luokka]]="Extra",KysymyksetTaulukko2[[#This Row],[Luokka + toimiala]]="Kuuluu"),"Extra","")</f>
        <v/>
      </c>
      <c r="Q10" s="114"/>
      <c r="R10" s="64" t="s">
        <v>86</v>
      </c>
      <c r="S10" s="159"/>
      <c r="T10" s="123">
        <f>IF(AND(KysymyksetTaulukko2[[#This Row],[Luokka + toimiala]]="Kuuluu",KysymyksetTaulukko2[[#This Row],[Vastaus]]="Kyllä"),1,0)</f>
        <v>0</v>
      </c>
      <c r="U10" s="121">
        <f>IF(AND(KysymyksetTaulukko2[[#This Row],[Maksimipisteet]]=1,NOT(ISBLANK(KysymyksetTaulukko2[[#This Row],[Vastaus]]))),1,0)</f>
        <v>0</v>
      </c>
      <c r="V10" s="123">
        <f>IF(OR(KysymyksetTaulukko2[[#This Row],[Luokka + toimiala]]="Ei kuulu",KysymyksetTaulukko2[[#This Row],[Vastaus]]="Ei koske",KysymyksetTaulukko2[[#This Row],[Luokka]]="Extra",KysymyksetTaulukko2[[#This Row],[Otsikkorivi]]="Kyllä"),0,1)</f>
        <v>0</v>
      </c>
    </row>
    <row r="11" spans="1:34" ht="30" x14ac:dyDescent="0.25">
      <c r="A11" s="3">
        <v>4</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28</v>
      </c>
      <c r="D11" s="3" t="str">
        <f>IF(ISNUMBER(SEARCH(LV!$I$5, Kustannustehokas_ja_organisoitu!C11)), "K", "E")</f>
        <v>E</v>
      </c>
      <c r="E11" s="3" t="str">
        <f>IF(ISNUMBER(SEARCH(LV!$I$6, Kustannustehokas_ja_organisoitu!$C11)), "K", "E")</f>
        <v>E</v>
      </c>
      <c r="F11" s="3" t="str">
        <f>IF(ISNUMBER(SEARCH(LV!$I$7, Kustannustehokas_ja_organisoitu!$C11)), "K", "E")</f>
        <v>E</v>
      </c>
      <c r="G11" s="3" t="str">
        <f>IF(ISNUMBER(SEARCH(LV!$I$8, Kustannustehokas_ja_organisoitu!$C11)), "K", "E")</f>
        <v>E</v>
      </c>
      <c r="H11" s="3" t="str">
        <f>IF(OR(KysymyksetTaulukko2[[#This Row],[Toimiala A]]="K",KysymyksetTaulukko2[[#This Row],[Toimiala B]]="K",KysymyksetTaulukko2[[#This Row],[Toimiala C]]="K",KysymyksetTaulukko2[[#This Row],[Toimiala D]]="K"),"Kuuluu","Ei kuulu")</f>
        <v>Ei kuulu</v>
      </c>
      <c r="I11" s="3" t="str">
        <f>IF(OR(KysymyksetTaulukko2[[#This Row],[Luokka]]="Ei kuulu",KysymyksetTaulukko2[[#This Row],[Toimiala-
kysymys]]="Ei kuulu"), "Ei kuulu", "Kuuluu")</f>
        <v>Ei kuulu</v>
      </c>
      <c r="J11" s="3" t="str">
        <f>IF(KysymyksetTaulukko2[[#This Row],[Luokka + toimiala]]="Kuuluu","a) Oman vesilaitoksen kysymykset","b) Muut kysymykset")</f>
        <v>b) Muut kysymykset</v>
      </c>
      <c r="K11" s="9" t="s">
        <v>80</v>
      </c>
      <c r="L11" s="9" t="s">
        <v>81</v>
      </c>
      <c r="M11" s="61" t="str">
        <f>LEFT(KysymyksetTaulukko2[[#This Row],[Alakategoria_]],2)</f>
        <v>5.</v>
      </c>
      <c r="N11" s="107"/>
      <c r="O11" s="70" t="s">
        <v>222</v>
      </c>
      <c r="P11" s="67" t="str">
        <f>IF(AND(KysymyksetTaulukko2[[#This Row],[Luokka]]="Extra",KysymyksetTaulukko2[[#This Row],[Luokka + toimiala]]="Kuuluu"),"Extra","")</f>
        <v/>
      </c>
      <c r="Q11" s="114"/>
      <c r="R11" s="64" t="s">
        <v>87</v>
      </c>
      <c r="S11" s="159"/>
      <c r="T11" s="123">
        <f>IF(AND(KysymyksetTaulukko2[[#This Row],[Luokka + toimiala]]="Kuuluu",KysymyksetTaulukko2[[#This Row],[Vastaus]]="Kyllä"),1,0)</f>
        <v>0</v>
      </c>
      <c r="U11" s="121">
        <f>IF(AND(KysymyksetTaulukko2[[#This Row],[Maksimipisteet]]=1,NOT(ISBLANK(KysymyksetTaulukko2[[#This Row],[Vastaus]]))),1,0)</f>
        <v>0</v>
      </c>
      <c r="V11" s="123">
        <f>IF(OR(KysymyksetTaulukko2[[#This Row],[Luokka + toimiala]]="Ei kuulu",KysymyksetTaulukko2[[#This Row],[Vastaus]]="Ei koske",KysymyksetTaulukko2[[#This Row],[Luokka]]="Extra",KysymyksetTaulukko2[[#This Row],[Otsikkorivi]]="Kyllä"),0,1)</f>
        <v>0</v>
      </c>
    </row>
    <row r="12" spans="1:34" ht="30" x14ac:dyDescent="0.25">
      <c r="A12" s="3" t="s">
        <v>6</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28</v>
      </c>
      <c r="D12" s="3" t="str">
        <f>IF(ISNUMBER(SEARCH(LV!$I$5, Kustannustehokas_ja_organisoitu!C12)), "K", "E")</f>
        <v>E</v>
      </c>
      <c r="E12" s="3" t="str">
        <f>IF(ISNUMBER(SEARCH(LV!$I$6, Kustannustehokas_ja_organisoitu!$C12)), "K", "E")</f>
        <v>E</v>
      </c>
      <c r="F12" s="3" t="str">
        <f>IF(ISNUMBER(SEARCH(LV!$I$7, Kustannustehokas_ja_organisoitu!$C12)), "K", "E")</f>
        <v>E</v>
      </c>
      <c r="G12" s="3" t="str">
        <f>IF(ISNUMBER(SEARCH(LV!$I$8, Kustannustehokas_ja_organisoitu!$C12)), "K", "E")</f>
        <v>E</v>
      </c>
      <c r="H12" s="3" t="str">
        <f>IF(OR(KysymyksetTaulukko2[[#This Row],[Toimiala A]]="K",KysymyksetTaulukko2[[#This Row],[Toimiala B]]="K",KysymyksetTaulukko2[[#This Row],[Toimiala C]]="K",KysymyksetTaulukko2[[#This Row],[Toimiala D]]="K"),"Kuuluu","Ei kuulu")</f>
        <v>Ei kuulu</v>
      </c>
      <c r="I12" s="3" t="str">
        <f>IF(OR(KysymyksetTaulukko2[[#This Row],[Luokka]]="Ei kuulu",KysymyksetTaulukko2[[#This Row],[Toimiala-
kysymys]]="Ei kuulu"), "Ei kuulu", "Kuuluu")</f>
        <v>Ei kuulu</v>
      </c>
      <c r="J12" s="3" t="str">
        <f>IF(KysymyksetTaulukko2[[#This Row],[Luokka + toimiala]]="Kuuluu","a) Oman vesilaitoksen kysymykset","b) Muut kysymykset")</f>
        <v>b) Muut kysymykset</v>
      </c>
      <c r="K12" s="9" t="s">
        <v>80</v>
      </c>
      <c r="L12" s="9" t="s">
        <v>241</v>
      </c>
      <c r="M12" s="61" t="str">
        <f>LEFT(KysymyksetTaulukko2[[#This Row],[Alakategoria_]],2)</f>
        <v>_O</v>
      </c>
      <c r="N12" s="107"/>
      <c r="O12" s="70"/>
      <c r="P12" s="67" t="str">
        <f>IF(AND(KysymyksetTaulukko2[[#This Row],[Luokka]]="Extra",KysymyksetTaulukko2[[#This Row],[Luokka + toimiala]]="Kuuluu"),"Extra","")</f>
        <v/>
      </c>
      <c r="Q12" s="114" t="s">
        <v>177</v>
      </c>
      <c r="R12" s="128" t="s">
        <v>88</v>
      </c>
      <c r="S12" s="158"/>
      <c r="T12" s="123">
        <f>IF(AND(KysymyksetTaulukko2[[#This Row],[Luokka + toimiala]]="Kuuluu",KysymyksetTaulukko2[[#This Row],[Vastaus]]="Kyllä"),1,0)</f>
        <v>0</v>
      </c>
      <c r="U12" s="121">
        <f>IF(AND(KysymyksetTaulukko2[[#This Row],[Maksimipisteet]]=1,NOT(ISBLANK(KysymyksetTaulukko2[[#This Row],[Vastaus]]))),1,0)</f>
        <v>0</v>
      </c>
      <c r="V12" s="123">
        <f>IF(OR(KysymyksetTaulukko2[[#This Row],[Luokka + toimiala]]="Ei kuulu",KysymyksetTaulukko2[[#This Row],[Vastaus]]="Ei koske",KysymyksetTaulukko2[[#This Row],[Luokka]]="Extra",KysymyksetTaulukko2[[#This Row],[Otsikkorivi]]="Kyllä"),0,1)</f>
        <v>0</v>
      </c>
    </row>
    <row r="13" spans="1:34" ht="45" x14ac:dyDescent="0.25">
      <c r="A13" s="3">
        <v>1.2</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28</v>
      </c>
      <c r="D13" s="3" t="str">
        <f>IF(ISNUMBER(SEARCH(LV!$I$5, Kustannustehokas_ja_organisoitu!C13)), "K", "E")</f>
        <v>E</v>
      </c>
      <c r="E13" s="3" t="str">
        <f>IF(ISNUMBER(SEARCH(LV!$I$6, Kustannustehokas_ja_organisoitu!$C13)), "K", "E")</f>
        <v>E</v>
      </c>
      <c r="F13" s="3" t="str">
        <f>IF(ISNUMBER(SEARCH(LV!$I$7, Kustannustehokas_ja_organisoitu!$C13)), "K", "E")</f>
        <v>E</v>
      </c>
      <c r="G13" s="3" t="str">
        <f>IF(ISNUMBER(SEARCH(LV!$I$8, Kustannustehokas_ja_organisoitu!$C13)), "K", "E")</f>
        <v>E</v>
      </c>
      <c r="H13" s="3" t="str">
        <f>IF(OR(KysymyksetTaulukko2[[#This Row],[Toimiala A]]="K",KysymyksetTaulukko2[[#This Row],[Toimiala B]]="K",KysymyksetTaulukko2[[#This Row],[Toimiala C]]="K",KysymyksetTaulukko2[[#This Row],[Toimiala D]]="K"),"Kuuluu","Ei kuulu")</f>
        <v>Ei kuulu</v>
      </c>
      <c r="I13" s="3" t="str">
        <f>IF(OR(KysymyksetTaulukko2[[#This Row],[Luokka]]="Ei kuulu",KysymyksetTaulukko2[[#This Row],[Toimiala-
kysymys]]="Ei kuulu"), "Ei kuulu", "Kuuluu")</f>
        <v>Ei kuulu</v>
      </c>
      <c r="J13" s="3" t="str">
        <f>IF(KysymyksetTaulukko2[[#This Row],[Luokka + toimiala]]="Kuuluu","a) Oman vesilaitoksen kysymykset","b) Muut kysymykset")</f>
        <v>b) Muut kysymykset</v>
      </c>
      <c r="K13" s="9" t="s">
        <v>80</v>
      </c>
      <c r="L13" s="9" t="s">
        <v>88</v>
      </c>
      <c r="M13" s="61" t="str">
        <f>LEFT(KysymyksetTaulukko2[[#This Row],[Alakategoria_]],2)</f>
        <v>6.</v>
      </c>
      <c r="N13" s="107"/>
      <c r="O13" s="70" t="s">
        <v>222</v>
      </c>
      <c r="P13" s="67" t="str">
        <f>IF(AND(KysymyksetTaulukko2[[#This Row],[Luokka]]="Extra",KysymyksetTaulukko2[[#This Row],[Luokka + toimiala]]="Kuuluu"),"Extra","")</f>
        <v/>
      </c>
      <c r="Q13" s="114"/>
      <c r="R13" s="64" t="s">
        <v>89</v>
      </c>
      <c r="S13" s="159"/>
      <c r="T13" s="123">
        <f>IF(AND(KysymyksetTaulukko2[[#This Row],[Luokka + toimiala]]="Kuuluu",KysymyksetTaulukko2[[#This Row],[Vastaus]]="Kyllä"),1,0)</f>
        <v>0</v>
      </c>
      <c r="U13" s="121">
        <f>IF(AND(KysymyksetTaulukko2[[#This Row],[Maksimipisteet]]=1,NOT(ISBLANK(KysymyksetTaulukko2[[#This Row],[Vastaus]]))),1,0)</f>
        <v>0</v>
      </c>
      <c r="V13" s="123">
        <f>IF(OR(KysymyksetTaulukko2[[#This Row],[Luokka + toimiala]]="Ei kuulu",KysymyksetTaulukko2[[#This Row],[Vastaus]]="Ei koske",KysymyksetTaulukko2[[#This Row],[Luokka]]="Extra",KysymyksetTaulukko2[[#This Row],[Otsikkorivi]]="Kyllä"),0,1)</f>
        <v>0</v>
      </c>
    </row>
    <row r="14" spans="1:34" ht="45" x14ac:dyDescent="0.25">
      <c r="A14" s="3">
        <v>3.4</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3" t="s">
        <v>28</v>
      </c>
      <c r="D14" s="3" t="str">
        <f>IF(ISNUMBER(SEARCH(LV!$I$5, Kustannustehokas_ja_organisoitu!C14)), "K", "E")</f>
        <v>E</v>
      </c>
      <c r="E14" s="3" t="str">
        <f>IF(ISNUMBER(SEARCH(LV!$I$6, Kustannustehokas_ja_organisoitu!$C14)), "K", "E")</f>
        <v>E</v>
      </c>
      <c r="F14" s="3" t="str">
        <f>IF(ISNUMBER(SEARCH(LV!$I$7, Kustannustehokas_ja_organisoitu!$C14)), "K", "E")</f>
        <v>E</v>
      </c>
      <c r="G14" s="3" t="str">
        <f>IF(ISNUMBER(SEARCH(LV!$I$8, Kustannustehokas_ja_organisoitu!$C14)), "K", "E")</f>
        <v>E</v>
      </c>
      <c r="H14" s="3" t="str">
        <f>IF(OR(KysymyksetTaulukko2[[#This Row],[Toimiala A]]="K",KysymyksetTaulukko2[[#This Row],[Toimiala B]]="K",KysymyksetTaulukko2[[#This Row],[Toimiala C]]="K",KysymyksetTaulukko2[[#This Row],[Toimiala D]]="K"),"Kuuluu","Ei kuulu")</f>
        <v>Ei kuulu</v>
      </c>
      <c r="I14" s="3" t="str">
        <f>IF(OR(KysymyksetTaulukko2[[#This Row],[Luokka]]="Ei kuulu",KysymyksetTaulukko2[[#This Row],[Toimiala-
kysymys]]="Ei kuulu"), "Ei kuulu", "Kuuluu")</f>
        <v>Ei kuulu</v>
      </c>
      <c r="J14" s="3" t="str">
        <f>IF(KysymyksetTaulukko2[[#This Row],[Luokka + toimiala]]="Kuuluu","a) Oman vesilaitoksen kysymykset","b) Muut kysymykset")</f>
        <v>b) Muut kysymykset</v>
      </c>
      <c r="K14" s="9" t="s">
        <v>80</v>
      </c>
      <c r="L14" s="9" t="s">
        <v>88</v>
      </c>
      <c r="M14" s="61" t="str">
        <f>LEFT(KysymyksetTaulukko2[[#This Row],[Alakategoria_]],2)</f>
        <v>6.</v>
      </c>
      <c r="N14" s="107"/>
      <c r="O14" s="70" t="s">
        <v>222</v>
      </c>
      <c r="P14" s="67" t="str">
        <f>IF(AND(KysymyksetTaulukko2[[#This Row],[Luokka]]="Extra",KysymyksetTaulukko2[[#This Row],[Luokka + toimiala]]="Kuuluu"),"Extra","")</f>
        <v/>
      </c>
      <c r="Q14" s="114"/>
      <c r="R14" s="64" t="s">
        <v>90</v>
      </c>
      <c r="S14" s="159"/>
      <c r="T14" s="123">
        <f>IF(AND(KysymyksetTaulukko2[[#This Row],[Luokka + toimiala]]="Kuuluu",KysymyksetTaulukko2[[#This Row],[Vastaus]]="Kyllä"),1,0)</f>
        <v>0</v>
      </c>
      <c r="U14" s="121">
        <f>IF(AND(KysymyksetTaulukko2[[#This Row],[Maksimipisteet]]=1,NOT(ISBLANK(KysymyksetTaulukko2[[#This Row],[Vastaus]]))),1,0)</f>
        <v>0</v>
      </c>
      <c r="V14" s="123">
        <f>IF(OR(KysymyksetTaulukko2[[#This Row],[Luokka + toimiala]]="Ei kuulu",KysymyksetTaulukko2[[#This Row],[Vastaus]]="Ei koske",KysymyksetTaulukko2[[#This Row],[Luokka]]="Extra",KysymyksetTaulukko2[[#This Row],[Otsikkorivi]]="Kyllä"),0,1)</f>
        <v>0</v>
      </c>
    </row>
    <row r="15" spans="1:34" ht="30" x14ac:dyDescent="0.25">
      <c r="A15" s="3">
        <v>1.2</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28</v>
      </c>
      <c r="D15" s="3" t="str">
        <f>IF(ISNUMBER(SEARCH(LV!$I$5, Kustannustehokas_ja_organisoitu!C15)), "K", "E")</f>
        <v>E</v>
      </c>
      <c r="E15" s="3" t="str">
        <f>IF(ISNUMBER(SEARCH(LV!$I$6, Kustannustehokas_ja_organisoitu!$C15)), "K", "E")</f>
        <v>E</v>
      </c>
      <c r="F15" s="3" t="str">
        <f>IF(ISNUMBER(SEARCH(LV!$I$7, Kustannustehokas_ja_organisoitu!$C15)), "K", "E")</f>
        <v>E</v>
      </c>
      <c r="G15" s="3" t="str">
        <f>IF(ISNUMBER(SEARCH(LV!$I$8, Kustannustehokas_ja_organisoitu!$C15)), "K", "E")</f>
        <v>E</v>
      </c>
      <c r="H15" s="3" t="str">
        <f>IF(OR(KysymyksetTaulukko2[[#This Row],[Toimiala A]]="K",KysymyksetTaulukko2[[#This Row],[Toimiala B]]="K",KysymyksetTaulukko2[[#This Row],[Toimiala C]]="K",KysymyksetTaulukko2[[#This Row],[Toimiala D]]="K"),"Kuuluu","Ei kuulu")</f>
        <v>Ei kuulu</v>
      </c>
      <c r="I15" s="3" t="str">
        <f>IF(OR(KysymyksetTaulukko2[[#This Row],[Luokka]]="Ei kuulu",KysymyksetTaulukko2[[#This Row],[Toimiala-
kysymys]]="Ei kuulu"), "Ei kuulu", "Kuuluu")</f>
        <v>Ei kuulu</v>
      </c>
      <c r="J15" s="3" t="str">
        <f>IF(KysymyksetTaulukko2[[#This Row],[Luokka + toimiala]]="Kuuluu","a) Oman vesilaitoksen kysymykset","b) Muut kysymykset")</f>
        <v>b) Muut kysymykset</v>
      </c>
      <c r="K15" s="9" t="s">
        <v>80</v>
      </c>
      <c r="L15" s="9" t="s">
        <v>88</v>
      </c>
      <c r="M15" s="61" t="str">
        <f>LEFT(KysymyksetTaulukko2[[#This Row],[Alakategoria_]],2)</f>
        <v>6.</v>
      </c>
      <c r="N15" s="107"/>
      <c r="O15" s="70" t="s">
        <v>222</v>
      </c>
      <c r="P15" s="67" t="str">
        <f>IF(AND(KysymyksetTaulukko2[[#This Row],[Luokka]]="Extra",KysymyksetTaulukko2[[#This Row],[Luokka + toimiala]]="Kuuluu"),"Extra","")</f>
        <v/>
      </c>
      <c r="Q15" s="114"/>
      <c r="R15" s="64" t="s">
        <v>91</v>
      </c>
      <c r="S15" s="159"/>
      <c r="T15" s="123">
        <f>IF(AND(KysymyksetTaulukko2[[#This Row],[Luokka + toimiala]]="Kuuluu",KysymyksetTaulukko2[[#This Row],[Vastaus]]="Kyllä"),1,0)</f>
        <v>0</v>
      </c>
      <c r="U15" s="121">
        <f>IF(AND(KysymyksetTaulukko2[[#This Row],[Maksimipisteet]]=1,NOT(ISBLANK(KysymyksetTaulukko2[[#This Row],[Vastaus]]))),1,0)</f>
        <v>0</v>
      </c>
      <c r="V15" s="123">
        <f>IF(OR(KysymyksetTaulukko2[[#This Row],[Luokka + toimiala]]="Ei kuulu",KysymyksetTaulukko2[[#This Row],[Vastaus]]="Ei koske",KysymyksetTaulukko2[[#This Row],[Luokka]]="Extra",KysymyksetTaulukko2[[#This Row],[Otsikkorivi]]="Kyllä"),0,1)</f>
        <v>0</v>
      </c>
    </row>
    <row r="16" spans="1:34" ht="30" x14ac:dyDescent="0.25">
      <c r="A16" s="3">
        <v>3.4</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3" t="s">
        <v>28</v>
      </c>
      <c r="D16" s="3" t="str">
        <f>IF(ISNUMBER(SEARCH(LV!$I$5, Kustannustehokas_ja_organisoitu!C16)), "K", "E")</f>
        <v>E</v>
      </c>
      <c r="E16" s="3" t="str">
        <f>IF(ISNUMBER(SEARCH(LV!$I$6, Kustannustehokas_ja_organisoitu!$C16)), "K", "E")</f>
        <v>E</v>
      </c>
      <c r="F16" s="3" t="str">
        <f>IF(ISNUMBER(SEARCH(LV!$I$7, Kustannustehokas_ja_organisoitu!$C16)), "K", "E")</f>
        <v>E</v>
      </c>
      <c r="G16" s="3" t="str">
        <f>IF(ISNUMBER(SEARCH(LV!$I$8, Kustannustehokas_ja_organisoitu!$C16)), "K", "E")</f>
        <v>E</v>
      </c>
      <c r="H16" s="3" t="str">
        <f>IF(OR(KysymyksetTaulukko2[[#This Row],[Toimiala A]]="K",KysymyksetTaulukko2[[#This Row],[Toimiala B]]="K",KysymyksetTaulukko2[[#This Row],[Toimiala C]]="K",KysymyksetTaulukko2[[#This Row],[Toimiala D]]="K"),"Kuuluu","Ei kuulu")</f>
        <v>Ei kuulu</v>
      </c>
      <c r="I16" s="3" t="str">
        <f>IF(OR(KysymyksetTaulukko2[[#This Row],[Luokka]]="Ei kuulu",KysymyksetTaulukko2[[#This Row],[Toimiala-
kysymys]]="Ei kuulu"), "Ei kuulu", "Kuuluu")</f>
        <v>Ei kuulu</v>
      </c>
      <c r="J16" s="3" t="str">
        <f>IF(KysymyksetTaulukko2[[#This Row],[Luokka + toimiala]]="Kuuluu","a) Oman vesilaitoksen kysymykset","b) Muut kysymykset")</f>
        <v>b) Muut kysymykset</v>
      </c>
      <c r="K16" s="9" t="s">
        <v>80</v>
      </c>
      <c r="L16" s="9" t="s">
        <v>88</v>
      </c>
      <c r="M16" s="61" t="str">
        <f>LEFT(KysymyksetTaulukko2[[#This Row],[Alakategoria_]],2)</f>
        <v>6.</v>
      </c>
      <c r="N16" s="107"/>
      <c r="O16" s="70" t="s">
        <v>222</v>
      </c>
      <c r="P16" s="67" t="str">
        <f>IF(AND(KysymyksetTaulukko2[[#This Row],[Luokka]]="Extra",KysymyksetTaulukko2[[#This Row],[Luokka + toimiala]]="Kuuluu"),"Extra","")</f>
        <v/>
      </c>
      <c r="Q16" s="114"/>
      <c r="R16" s="64" t="s">
        <v>92</v>
      </c>
      <c r="S16" s="159"/>
      <c r="T16" s="123">
        <f>IF(AND(KysymyksetTaulukko2[[#This Row],[Luokka + toimiala]]="Kuuluu",KysymyksetTaulukko2[[#This Row],[Vastaus]]="Kyllä"),1,0)</f>
        <v>0</v>
      </c>
      <c r="U16" s="121">
        <f>IF(AND(KysymyksetTaulukko2[[#This Row],[Maksimipisteet]]=1,NOT(ISBLANK(KysymyksetTaulukko2[[#This Row],[Vastaus]]))),1,0)</f>
        <v>0</v>
      </c>
      <c r="V16" s="123">
        <f>IF(OR(KysymyksetTaulukko2[[#This Row],[Luokka + toimiala]]="Ei kuulu",KysymyksetTaulukko2[[#This Row],[Vastaus]]="Ei koske",KysymyksetTaulukko2[[#This Row],[Luokka]]="Extra",KysymyksetTaulukko2[[#This Row],[Otsikkorivi]]="Kyllä"),0,1)</f>
        <v>0</v>
      </c>
    </row>
    <row r="17" spans="1:22" ht="45" x14ac:dyDescent="0.25">
      <c r="A17" s="3" t="s">
        <v>12</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Kustannustehokas_ja_organisoitu!C17)), "K", "E")</f>
        <v>E</v>
      </c>
      <c r="E17" s="3" t="str">
        <f>IF(ISNUMBER(SEARCH(LV!$I$6, Kustannustehokas_ja_organisoitu!$C17)), "K", "E")</f>
        <v>E</v>
      </c>
      <c r="F17" s="3" t="str">
        <f>IF(ISNUMBER(SEARCH(LV!$I$7, Kustannustehokas_ja_organisoitu!$C17)), "K", "E")</f>
        <v>E</v>
      </c>
      <c r="G17" s="3" t="str">
        <f>IF(ISNUMBER(SEARCH(LV!$I$8, Kustannustehokas_ja_organisoitu!$C17)), "K", "E")</f>
        <v>E</v>
      </c>
      <c r="H17" s="3" t="str">
        <f>IF(OR(KysymyksetTaulukko2[[#This Row],[Toimiala A]]="K",KysymyksetTaulukko2[[#This Row],[Toimiala B]]="K",KysymyksetTaulukko2[[#This Row],[Toimiala C]]="K",KysymyksetTaulukko2[[#This Row],[Toimiala D]]="K"),"Kuuluu","Ei kuulu")</f>
        <v>Ei kuulu</v>
      </c>
      <c r="I17" s="3" t="str">
        <f>IF(OR(KysymyksetTaulukko2[[#This Row],[Luokka]]="Ei kuulu",KysymyksetTaulukko2[[#This Row],[Toimiala-
kysymys]]="Ei kuulu"), "Ei kuulu", "Kuuluu")</f>
        <v>Ei kuulu</v>
      </c>
      <c r="J17" s="3" t="str">
        <f>IF(KysymyksetTaulukko2[[#This Row],[Luokka + toimiala]]="Kuuluu","a) Oman vesilaitoksen kysymykset","b) Muut kysymykset")</f>
        <v>b) Muut kysymykset</v>
      </c>
      <c r="K17" s="9" t="s">
        <v>80</v>
      </c>
      <c r="L17" s="9" t="s">
        <v>88</v>
      </c>
      <c r="M17" s="61" t="str">
        <f>LEFT(KysymyksetTaulukko2[[#This Row],[Alakategoria_]],2)</f>
        <v>6.</v>
      </c>
      <c r="N17" s="107" t="s">
        <v>11</v>
      </c>
      <c r="O17" s="70" t="s">
        <v>206</v>
      </c>
      <c r="P17" s="67" t="str">
        <f>IF(AND(KysymyksetTaulukko2[[#This Row],[Luokka]]="Extra",KysymyksetTaulukko2[[#This Row],[Luokka + toimiala]]="Kuuluu"),"Extra","")</f>
        <v/>
      </c>
      <c r="Q17" s="114"/>
      <c r="R17" s="64" t="s">
        <v>93</v>
      </c>
      <c r="S17" s="159"/>
      <c r="T17" s="123">
        <f>IF(AND(KysymyksetTaulukko2[[#This Row],[Luokka + toimiala]]="Kuuluu",KysymyksetTaulukko2[[#This Row],[Vastaus]]="Kyllä"),1,0)</f>
        <v>0</v>
      </c>
      <c r="U17" s="121">
        <f>IF(AND(KysymyksetTaulukko2[[#This Row],[Maksimipisteet]]=1,NOT(ISBLANK(KysymyksetTaulukko2[[#This Row],[Vastaus]]))),1,0)</f>
        <v>0</v>
      </c>
      <c r="V17" s="123">
        <f>IF(OR(KysymyksetTaulukko2[[#This Row],[Luokka + toimiala]]="Ei kuulu",KysymyksetTaulukko2[[#This Row],[Vastaus]]="Ei koske",KysymyksetTaulukko2[[#This Row],[Luokka]]="Extra",KysymyksetTaulukko2[[#This Row],[Otsikkorivi]]="Kyllä"),0,1)</f>
        <v>0</v>
      </c>
    </row>
    <row r="18" spans="1:22" ht="30" x14ac:dyDescent="0.25">
      <c r="A18" s="3" t="s">
        <v>19</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3" t="s">
        <v>28</v>
      </c>
      <c r="D18" s="3" t="str">
        <f>IF(ISNUMBER(SEARCH(LV!$I$5, Kustannustehokas_ja_organisoitu!C18)), "K", "E")</f>
        <v>E</v>
      </c>
      <c r="E18" s="3" t="str">
        <f>IF(ISNUMBER(SEARCH(LV!$I$6, Kustannustehokas_ja_organisoitu!$C18)), "K", "E")</f>
        <v>E</v>
      </c>
      <c r="F18" s="3" t="str">
        <f>IF(ISNUMBER(SEARCH(LV!$I$7, Kustannustehokas_ja_organisoitu!$C18)), "K", "E")</f>
        <v>E</v>
      </c>
      <c r="G18" s="3" t="str">
        <f>IF(ISNUMBER(SEARCH(LV!$I$8, Kustannustehokas_ja_organisoitu!$C18)), "K", "E")</f>
        <v>E</v>
      </c>
      <c r="H18" s="3" t="str">
        <f>IF(OR(KysymyksetTaulukko2[[#This Row],[Toimiala A]]="K",KysymyksetTaulukko2[[#This Row],[Toimiala B]]="K",KysymyksetTaulukko2[[#This Row],[Toimiala C]]="K",KysymyksetTaulukko2[[#This Row],[Toimiala D]]="K"),"Kuuluu","Ei kuulu")</f>
        <v>Ei kuulu</v>
      </c>
      <c r="I18" s="3" t="str">
        <f>IF(OR(KysymyksetTaulukko2[[#This Row],[Luokka]]="Ei kuulu",KysymyksetTaulukko2[[#This Row],[Toimiala-
kysymys]]="Ei kuulu"), "Ei kuulu", "Kuuluu")</f>
        <v>Ei kuulu</v>
      </c>
      <c r="J18" s="3" t="str">
        <f>IF(KysymyksetTaulukko2[[#This Row],[Luokka + toimiala]]="Kuuluu","a) Oman vesilaitoksen kysymykset","b) Muut kysymykset")</f>
        <v>b) Muut kysymykset</v>
      </c>
      <c r="K18" s="9" t="s">
        <v>80</v>
      </c>
      <c r="L18" s="9" t="s">
        <v>88</v>
      </c>
      <c r="M18" s="61" t="str">
        <f>LEFT(KysymyksetTaulukko2[[#This Row],[Alakategoria_]],2)</f>
        <v>6.</v>
      </c>
      <c r="N18" s="107"/>
      <c r="O18" s="70" t="s">
        <v>222</v>
      </c>
      <c r="P18" s="67" t="str">
        <f>IF(AND(KysymyksetTaulukko2[[#This Row],[Luokka]]="Extra",KysymyksetTaulukko2[[#This Row],[Luokka + toimiala]]="Kuuluu"),"Extra","")</f>
        <v/>
      </c>
      <c r="Q18" s="114"/>
      <c r="R18" s="64" t="s">
        <v>94</v>
      </c>
      <c r="S18" s="159"/>
      <c r="T18" s="123">
        <f>IF(AND(KysymyksetTaulukko2[[#This Row],[Luokka + toimiala]]="Kuuluu",KysymyksetTaulukko2[[#This Row],[Vastaus]]="Kyllä"),1,0)</f>
        <v>0</v>
      </c>
      <c r="U18" s="121">
        <f>IF(AND(KysymyksetTaulukko2[[#This Row],[Maksimipisteet]]=1,NOT(ISBLANK(KysymyksetTaulukko2[[#This Row],[Vastaus]]))),1,0)</f>
        <v>0</v>
      </c>
      <c r="V18" s="123">
        <f>IF(OR(KysymyksetTaulukko2[[#This Row],[Luokka + toimiala]]="Ei kuulu",KysymyksetTaulukko2[[#This Row],[Vastaus]]="Ei koske",KysymyksetTaulukko2[[#This Row],[Luokka]]="Extra",KysymyksetTaulukko2[[#This Row],[Otsikkorivi]]="Kyllä"),0,1)</f>
        <v>0</v>
      </c>
    </row>
    <row r="19" spans="1:22" ht="30" x14ac:dyDescent="0.25">
      <c r="A19" s="3" t="s">
        <v>19</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28</v>
      </c>
      <c r="D19" s="3" t="str">
        <f>IF(ISNUMBER(SEARCH(LV!$I$5, Kustannustehokas_ja_organisoitu!C19)), "K", "E")</f>
        <v>E</v>
      </c>
      <c r="E19" s="3" t="str">
        <f>IF(ISNUMBER(SEARCH(LV!$I$6, Kustannustehokas_ja_organisoitu!$C19)), "K", "E")</f>
        <v>E</v>
      </c>
      <c r="F19" s="3" t="str">
        <f>IF(ISNUMBER(SEARCH(LV!$I$7, Kustannustehokas_ja_organisoitu!$C19)), "K", "E")</f>
        <v>E</v>
      </c>
      <c r="G19" s="3" t="str">
        <f>IF(ISNUMBER(SEARCH(LV!$I$8, Kustannustehokas_ja_organisoitu!$C19)), "K", "E")</f>
        <v>E</v>
      </c>
      <c r="H19" s="3" t="str">
        <f>IF(OR(KysymyksetTaulukko2[[#This Row],[Toimiala A]]="K",KysymyksetTaulukko2[[#This Row],[Toimiala B]]="K",KysymyksetTaulukko2[[#This Row],[Toimiala C]]="K",KysymyksetTaulukko2[[#This Row],[Toimiala D]]="K"),"Kuuluu","Ei kuulu")</f>
        <v>Ei kuulu</v>
      </c>
      <c r="I19" s="3" t="str">
        <f>IF(OR(KysymyksetTaulukko2[[#This Row],[Luokka]]="Ei kuulu",KysymyksetTaulukko2[[#This Row],[Toimiala-
kysymys]]="Ei kuulu"), "Ei kuulu", "Kuuluu")</f>
        <v>Ei kuulu</v>
      </c>
      <c r="J19" s="3" t="str">
        <f>IF(KysymyksetTaulukko2[[#This Row],[Luokka + toimiala]]="Kuuluu","a) Oman vesilaitoksen kysymykset","b) Muut kysymykset")</f>
        <v>b) Muut kysymykset</v>
      </c>
      <c r="K19" s="9" t="s">
        <v>80</v>
      </c>
      <c r="L19" s="9" t="s">
        <v>88</v>
      </c>
      <c r="M19" s="61" t="str">
        <f>LEFT(KysymyksetTaulukko2[[#This Row],[Alakategoria_]],2)</f>
        <v>6.</v>
      </c>
      <c r="N19" s="107"/>
      <c r="O19" s="70" t="s">
        <v>222</v>
      </c>
      <c r="P19" s="67" t="str">
        <f>IF(AND(KysymyksetTaulukko2[[#This Row],[Luokka]]="Extra",KysymyksetTaulukko2[[#This Row],[Luokka + toimiala]]="Kuuluu"),"Extra","")</f>
        <v/>
      </c>
      <c r="Q19" s="114"/>
      <c r="R19" s="64" t="s">
        <v>95</v>
      </c>
      <c r="S19" s="159"/>
      <c r="T19" s="123">
        <f>IF(AND(KysymyksetTaulukko2[[#This Row],[Luokka + toimiala]]="Kuuluu",KysymyksetTaulukko2[[#This Row],[Vastaus]]="Kyllä"),1,0)</f>
        <v>0</v>
      </c>
      <c r="U19" s="121">
        <f>IF(AND(KysymyksetTaulukko2[[#This Row],[Maksimipisteet]]=1,NOT(ISBLANK(KysymyksetTaulukko2[[#This Row],[Vastaus]]))),1,0)</f>
        <v>0</v>
      </c>
      <c r="V19" s="123">
        <f>IF(OR(KysymyksetTaulukko2[[#This Row],[Luokka + toimiala]]="Ei kuulu",KysymyksetTaulukko2[[#This Row],[Vastaus]]="Ei koske",KysymyksetTaulukko2[[#This Row],[Luokka]]="Extra",KysymyksetTaulukko2[[#This Row],[Otsikkorivi]]="Kyllä"),0,1)</f>
        <v>0</v>
      </c>
    </row>
    <row r="20" spans="1:22" ht="30" x14ac:dyDescent="0.25">
      <c r="A20" s="3">
        <v>3.4</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28</v>
      </c>
      <c r="D20" s="3" t="str">
        <f>IF(ISNUMBER(SEARCH(LV!$I$5, Kustannustehokas_ja_organisoitu!C20)), "K", "E")</f>
        <v>E</v>
      </c>
      <c r="E20" s="3" t="str">
        <f>IF(ISNUMBER(SEARCH(LV!$I$6, Kustannustehokas_ja_organisoitu!$C20)), "K", "E")</f>
        <v>E</v>
      </c>
      <c r="F20" s="3" t="str">
        <f>IF(ISNUMBER(SEARCH(LV!$I$7, Kustannustehokas_ja_organisoitu!$C20)), "K", "E")</f>
        <v>E</v>
      </c>
      <c r="G20" s="3" t="str">
        <f>IF(ISNUMBER(SEARCH(LV!$I$8, Kustannustehokas_ja_organisoitu!$C20)), "K", "E")</f>
        <v>E</v>
      </c>
      <c r="H20" s="3" t="str">
        <f>IF(OR(KysymyksetTaulukko2[[#This Row],[Toimiala A]]="K",KysymyksetTaulukko2[[#This Row],[Toimiala B]]="K",KysymyksetTaulukko2[[#This Row],[Toimiala C]]="K",KysymyksetTaulukko2[[#This Row],[Toimiala D]]="K"),"Kuuluu","Ei kuulu")</f>
        <v>Ei kuulu</v>
      </c>
      <c r="I20" s="3" t="str">
        <f>IF(OR(KysymyksetTaulukko2[[#This Row],[Luokka]]="Ei kuulu",KysymyksetTaulukko2[[#This Row],[Toimiala-
kysymys]]="Ei kuulu"), "Ei kuulu", "Kuuluu")</f>
        <v>Ei kuulu</v>
      </c>
      <c r="J20" s="3" t="str">
        <f>IF(KysymyksetTaulukko2[[#This Row],[Luokka + toimiala]]="Kuuluu","a) Oman vesilaitoksen kysymykset","b) Muut kysymykset")</f>
        <v>b) Muut kysymykset</v>
      </c>
      <c r="K20" s="9" t="s">
        <v>80</v>
      </c>
      <c r="L20" s="9" t="s">
        <v>88</v>
      </c>
      <c r="M20" s="61" t="str">
        <f>LEFT(KysymyksetTaulukko2[[#This Row],[Alakategoria_]],2)</f>
        <v>6.</v>
      </c>
      <c r="N20" s="107"/>
      <c r="O20" s="70" t="s">
        <v>222</v>
      </c>
      <c r="P20" s="67" t="str">
        <f>IF(AND(KysymyksetTaulukko2[[#This Row],[Luokka]]="Extra",KysymyksetTaulukko2[[#This Row],[Luokka + toimiala]]="Kuuluu"),"Extra","")</f>
        <v/>
      </c>
      <c r="Q20" s="114"/>
      <c r="R20" s="64" t="s">
        <v>96</v>
      </c>
      <c r="S20" s="159"/>
      <c r="T20" s="123">
        <f>IF(AND(KysymyksetTaulukko2[[#This Row],[Luokka + toimiala]]="Kuuluu",KysymyksetTaulukko2[[#This Row],[Vastaus]]="Kyllä"),1,0)</f>
        <v>0</v>
      </c>
      <c r="U20" s="121">
        <f>IF(AND(KysymyksetTaulukko2[[#This Row],[Maksimipisteet]]=1,NOT(ISBLANK(KysymyksetTaulukko2[[#This Row],[Vastaus]]))),1,0)</f>
        <v>0</v>
      </c>
      <c r="V20" s="123">
        <f>IF(OR(KysymyksetTaulukko2[[#This Row],[Luokka + toimiala]]="Ei kuulu",KysymyksetTaulukko2[[#This Row],[Vastaus]]="Ei koske",KysymyksetTaulukko2[[#This Row],[Luokka]]="Extra",KysymyksetTaulukko2[[#This Row],[Otsikkorivi]]="Kyllä"),0,1)</f>
        <v>0</v>
      </c>
    </row>
    <row r="21" spans="1:22" ht="30" x14ac:dyDescent="0.25">
      <c r="A21" s="3">
        <v>3.4</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17</v>
      </c>
      <c r="D21" s="3" t="str">
        <f>IF(ISNUMBER(SEARCH(LV!$I$5, Kustannustehokas_ja_organisoitu!C21)), "K", "E")</f>
        <v>E</v>
      </c>
      <c r="E21" s="3" t="str">
        <f>IF(ISNUMBER(SEARCH(LV!$I$6, Kustannustehokas_ja_organisoitu!$C21)), "K", "E")</f>
        <v>E</v>
      </c>
      <c r="F21" s="3" t="str">
        <f>IF(ISNUMBER(SEARCH(LV!$I$7, Kustannustehokas_ja_organisoitu!$C21)), "K", "E")</f>
        <v>E</v>
      </c>
      <c r="G21" s="3" t="str">
        <f>IF(ISNUMBER(SEARCH(LV!$I$8, Kustannustehokas_ja_organisoitu!$C21)), "K", "E")</f>
        <v>E</v>
      </c>
      <c r="H21" s="3" t="str">
        <f>IF(OR(KysymyksetTaulukko2[[#This Row],[Toimiala A]]="K",KysymyksetTaulukko2[[#This Row],[Toimiala B]]="K",KysymyksetTaulukko2[[#This Row],[Toimiala C]]="K",KysymyksetTaulukko2[[#This Row],[Toimiala D]]="K"),"Kuuluu","Ei kuulu")</f>
        <v>Ei kuulu</v>
      </c>
      <c r="I21" s="3" t="str">
        <f>IF(OR(KysymyksetTaulukko2[[#This Row],[Luokka]]="Ei kuulu",KysymyksetTaulukko2[[#This Row],[Toimiala-
kysymys]]="Ei kuulu"), "Ei kuulu", "Kuuluu")</f>
        <v>Ei kuulu</v>
      </c>
      <c r="J21" s="3" t="str">
        <f>IF(KysymyksetTaulukko2[[#This Row],[Luokka + toimiala]]="Kuuluu","a) Oman vesilaitoksen kysymykset","b) Muut kysymykset")</f>
        <v>b) Muut kysymykset</v>
      </c>
      <c r="K21" s="9" t="s">
        <v>80</v>
      </c>
      <c r="L21" s="9" t="s">
        <v>88</v>
      </c>
      <c r="M21" s="61" t="str">
        <f>LEFT(KysymyksetTaulukko2[[#This Row],[Alakategoria_]],2)</f>
        <v>6.</v>
      </c>
      <c r="N21" s="107"/>
      <c r="O21" s="70" t="s">
        <v>222</v>
      </c>
      <c r="P21" s="67" t="str">
        <f>IF(AND(KysymyksetTaulukko2[[#This Row],[Luokka]]="Extra",KysymyksetTaulukko2[[#This Row],[Luokka + toimiala]]="Kuuluu"),"Extra","")</f>
        <v/>
      </c>
      <c r="Q21" s="114"/>
      <c r="R21" s="64" t="s">
        <v>97</v>
      </c>
      <c r="S21" s="159"/>
      <c r="T21" s="123">
        <f>IF(AND(KysymyksetTaulukko2[[#This Row],[Luokka + toimiala]]="Kuuluu",KysymyksetTaulukko2[[#This Row],[Vastaus]]="Kyllä"),1,0)</f>
        <v>0</v>
      </c>
      <c r="U21" s="121">
        <f>IF(AND(KysymyksetTaulukko2[[#This Row],[Maksimipisteet]]=1,NOT(ISBLANK(KysymyksetTaulukko2[[#This Row],[Vastaus]]))),1,0)</f>
        <v>0</v>
      </c>
      <c r="V21" s="123">
        <f>IF(OR(KysymyksetTaulukko2[[#This Row],[Luokka + toimiala]]="Ei kuulu",KysymyksetTaulukko2[[#This Row],[Vastaus]]="Ei koske",KysymyksetTaulukko2[[#This Row],[Luokka]]="Extra",KysymyksetTaulukko2[[#This Row],[Otsikkorivi]]="Kyllä"),0,1)</f>
        <v>0</v>
      </c>
    </row>
    <row r="22" spans="1:22" ht="30" x14ac:dyDescent="0.25">
      <c r="A22" s="3">
        <v>4</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Kustannustehokas_ja_organisoitu!C22)), "K", "E")</f>
        <v>E</v>
      </c>
      <c r="E22" s="3" t="str">
        <f>IF(ISNUMBER(SEARCH(LV!$I$6, Kustannustehokas_ja_organisoitu!$C22)), "K", "E")</f>
        <v>E</v>
      </c>
      <c r="F22" s="3" t="str">
        <f>IF(ISNUMBER(SEARCH(LV!$I$7, Kustannustehokas_ja_organisoitu!$C22)), "K", "E")</f>
        <v>E</v>
      </c>
      <c r="G22" s="3" t="str">
        <f>IF(ISNUMBER(SEARCH(LV!$I$8, Kustannustehokas_ja_organisoitu!$C22)), "K", "E")</f>
        <v>E</v>
      </c>
      <c r="H22" s="3" t="str">
        <f>IF(OR(KysymyksetTaulukko2[[#This Row],[Toimiala A]]="K",KysymyksetTaulukko2[[#This Row],[Toimiala B]]="K",KysymyksetTaulukko2[[#This Row],[Toimiala C]]="K",KysymyksetTaulukko2[[#This Row],[Toimiala D]]="K"),"Kuuluu","Ei kuulu")</f>
        <v>Ei kuulu</v>
      </c>
      <c r="I22" s="3" t="str">
        <f>IF(OR(KysymyksetTaulukko2[[#This Row],[Luokka]]="Ei kuulu",KysymyksetTaulukko2[[#This Row],[Toimiala-
kysymys]]="Ei kuulu"), "Ei kuulu", "Kuuluu")</f>
        <v>Ei kuulu</v>
      </c>
      <c r="J22" s="3" t="str">
        <f>IF(KysymyksetTaulukko2[[#This Row],[Luokka + toimiala]]="Kuuluu","a) Oman vesilaitoksen kysymykset","b) Muut kysymykset")</f>
        <v>b) Muut kysymykset</v>
      </c>
      <c r="K22" s="9" t="s">
        <v>80</v>
      </c>
      <c r="L22" s="9" t="s">
        <v>88</v>
      </c>
      <c r="M22" s="61" t="str">
        <f>LEFT(KysymyksetTaulukko2[[#This Row],[Alakategoria_]],2)</f>
        <v>6.</v>
      </c>
      <c r="N22" s="107"/>
      <c r="O22" s="70" t="s">
        <v>222</v>
      </c>
      <c r="P22" s="67" t="str">
        <f>IF(AND(KysymyksetTaulukko2[[#This Row],[Luokka]]="Extra",KysymyksetTaulukko2[[#This Row],[Luokka + toimiala]]="Kuuluu"),"Extra","")</f>
        <v/>
      </c>
      <c r="Q22" s="114"/>
      <c r="R22" s="64" t="s">
        <v>278</v>
      </c>
      <c r="S22" s="159"/>
      <c r="T22" s="123">
        <f>IF(AND(KysymyksetTaulukko2[[#This Row],[Luokka + toimiala]]="Kuuluu",KysymyksetTaulukko2[[#This Row],[Vastaus]]="Kyllä"),1,0)</f>
        <v>0</v>
      </c>
      <c r="U22" s="121">
        <f>IF(AND(KysymyksetTaulukko2[[#This Row],[Maksimipisteet]]=1,NOT(ISBLANK(KysymyksetTaulukko2[[#This Row],[Vastaus]]))),1,0)</f>
        <v>0</v>
      </c>
      <c r="V22" s="123">
        <f>IF(OR(KysymyksetTaulukko2[[#This Row],[Luokka + toimiala]]="Ei kuulu",KysymyksetTaulukko2[[#This Row],[Vastaus]]="Ei koske",KysymyksetTaulukko2[[#This Row],[Luokka]]="Extra",KysymyksetTaulukko2[[#This Row],[Otsikkorivi]]="Kyllä"),0,1)</f>
        <v>0</v>
      </c>
    </row>
    <row r="23" spans="1:22" ht="30" x14ac:dyDescent="0.25">
      <c r="A23" s="3">
        <v>5</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28</v>
      </c>
      <c r="D23" s="3" t="str">
        <f>IF(ISNUMBER(SEARCH(LV!$I$5, Kustannustehokas_ja_organisoitu!C23)), "K", "E")</f>
        <v>E</v>
      </c>
      <c r="E23" s="3" t="str">
        <f>IF(ISNUMBER(SEARCH(LV!$I$6, Kustannustehokas_ja_organisoitu!$C23)), "K", "E")</f>
        <v>E</v>
      </c>
      <c r="F23" s="3" t="str">
        <f>IF(ISNUMBER(SEARCH(LV!$I$7, Kustannustehokas_ja_organisoitu!$C23)), "K", "E")</f>
        <v>E</v>
      </c>
      <c r="G23" s="3" t="str">
        <f>IF(ISNUMBER(SEARCH(LV!$I$8, Kustannustehokas_ja_organisoitu!$C23)), "K", "E")</f>
        <v>E</v>
      </c>
      <c r="H23" s="3" t="str">
        <f>IF(OR(KysymyksetTaulukko2[[#This Row],[Toimiala A]]="K",KysymyksetTaulukko2[[#This Row],[Toimiala B]]="K",KysymyksetTaulukko2[[#This Row],[Toimiala C]]="K",KysymyksetTaulukko2[[#This Row],[Toimiala D]]="K"),"Kuuluu","Ei kuulu")</f>
        <v>Ei kuulu</v>
      </c>
      <c r="I23" s="3" t="str">
        <f>IF(OR(KysymyksetTaulukko2[[#This Row],[Luokka]]="Ei kuulu",KysymyksetTaulukko2[[#This Row],[Toimiala-
kysymys]]="Ei kuulu"), "Ei kuulu", "Kuuluu")</f>
        <v>Ei kuulu</v>
      </c>
      <c r="J23" s="3" t="str">
        <f>IF(KysymyksetTaulukko2[[#This Row],[Luokka + toimiala]]="Kuuluu","a) Oman vesilaitoksen kysymykset","b) Muut kysymykset")</f>
        <v>b) Muut kysymykset</v>
      </c>
      <c r="K23" s="9" t="s">
        <v>80</v>
      </c>
      <c r="L23" s="9" t="s">
        <v>88</v>
      </c>
      <c r="M23" s="61" t="str">
        <f>LEFT(KysymyksetTaulukko2[[#This Row],[Alakategoria_]],2)</f>
        <v>6.</v>
      </c>
      <c r="N23" s="107"/>
      <c r="O23" s="70" t="s">
        <v>222</v>
      </c>
      <c r="P23" s="67" t="str">
        <f>IF(AND(KysymyksetTaulukko2[[#This Row],[Luokka]]="Extra",KysymyksetTaulukko2[[#This Row],[Luokka + toimiala]]="Kuuluu"),"Extra","")</f>
        <v/>
      </c>
      <c r="Q23" s="114"/>
      <c r="R23" s="64" t="s">
        <v>99</v>
      </c>
      <c r="S23" s="159"/>
      <c r="T23" s="123">
        <f>IF(AND(KysymyksetTaulukko2[[#This Row],[Luokka + toimiala]]="Kuuluu",KysymyksetTaulukko2[[#This Row],[Vastaus]]="Kyllä"),1,0)</f>
        <v>0</v>
      </c>
      <c r="U23" s="121">
        <f>IF(AND(KysymyksetTaulukko2[[#This Row],[Maksimipisteet]]=1,NOT(ISBLANK(KysymyksetTaulukko2[[#This Row],[Vastaus]]))),1,0)</f>
        <v>0</v>
      </c>
      <c r="V23" s="123">
        <f>IF(OR(KysymyksetTaulukko2[[#This Row],[Luokka + toimiala]]="Ei kuulu",KysymyksetTaulukko2[[#This Row],[Vastaus]]="Ei koske",KysymyksetTaulukko2[[#This Row],[Luokka]]="Extra",KysymyksetTaulukko2[[#This Row],[Otsikkorivi]]="Kyllä"),0,1)</f>
        <v>0</v>
      </c>
    </row>
    <row r="24" spans="1:22" ht="30" x14ac:dyDescent="0.25">
      <c r="A24" s="3">
        <v>5</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Kustannustehokas_ja_organisoitu!C24)), "K", "E")</f>
        <v>E</v>
      </c>
      <c r="E24" s="3" t="str">
        <f>IF(ISNUMBER(SEARCH(LV!$I$6, Kustannustehokas_ja_organisoitu!$C24)), "K", "E")</f>
        <v>E</v>
      </c>
      <c r="F24" s="3" t="str">
        <f>IF(ISNUMBER(SEARCH(LV!$I$7, Kustannustehokas_ja_organisoitu!$C24)), "K", "E")</f>
        <v>E</v>
      </c>
      <c r="G24" s="3" t="str">
        <f>IF(ISNUMBER(SEARCH(LV!$I$8, Kustannustehokas_ja_organisoitu!$C24)), "K", "E")</f>
        <v>E</v>
      </c>
      <c r="H24" s="3" t="str">
        <f>IF(OR(KysymyksetTaulukko2[[#This Row],[Toimiala A]]="K",KysymyksetTaulukko2[[#This Row],[Toimiala B]]="K",KysymyksetTaulukko2[[#This Row],[Toimiala C]]="K",KysymyksetTaulukko2[[#This Row],[Toimiala D]]="K"),"Kuuluu","Ei kuulu")</f>
        <v>Ei kuulu</v>
      </c>
      <c r="I24" s="3" t="str">
        <f>IF(OR(KysymyksetTaulukko2[[#This Row],[Luokka]]="Ei kuulu",KysymyksetTaulukko2[[#This Row],[Toimiala-
kysymys]]="Ei kuulu"), "Ei kuulu", "Kuuluu")</f>
        <v>Ei kuulu</v>
      </c>
      <c r="J24" s="3" t="str">
        <f>IF(KysymyksetTaulukko2[[#This Row],[Luokka + toimiala]]="Kuuluu","a) Oman vesilaitoksen kysymykset","b) Muut kysymykset")</f>
        <v>b) Muut kysymykset</v>
      </c>
      <c r="K24" s="9" t="s">
        <v>80</v>
      </c>
      <c r="L24" s="9" t="s">
        <v>88</v>
      </c>
      <c r="M24" s="61" t="str">
        <f>LEFT(KysymyksetTaulukko2[[#This Row],[Alakategoria_]],2)</f>
        <v>6.</v>
      </c>
      <c r="N24" s="107"/>
      <c r="O24" s="70" t="s">
        <v>222</v>
      </c>
      <c r="P24" s="67" t="str">
        <f>IF(AND(KysymyksetTaulukko2[[#This Row],[Luokka]]="Extra",KysymyksetTaulukko2[[#This Row],[Luokka + toimiala]]="Kuuluu"),"Extra","")</f>
        <v/>
      </c>
      <c r="Q24" s="114"/>
      <c r="R24" s="64" t="s">
        <v>100</v>
      </c>
      <c r="S24" s="159"/>
      <c r="T24" s="123">
        <f>IF(AND(KysymyksetTaulukko2[[#This Row],[Luokka + toimiala]]="Kuuluu",KysymyksetTaulukko2[[#This Row],[Vastaus]]="Kyllä"),1,0)</f>
        <v>0</v>
      </c>
      <c r="U24" s="121">
        <f>IF(AND(KysymyksetTaulukko2[[#This Row],[Maksimipisteet]]=1,NOT(ISBLANK(KysymyksetTaulukko2[[#This Row],[Vastaus]]))),1,0)</f>
        <v>0</v>
      </c>
      <c r="V24" s="123">
        <f>IF(OR(KysymyksetTaulukko2[[#This Row],[Luokka + toimiala]]="Ei kuulu",KysymyksetTaulukko2[[#This Row],[Vastaus]]="Ei koske",KysymyksetTaulukko2[[#This Row],[Luokka]]="Extra",KysymyksetTaulukko2[[#This Row],[Otsikkorivi]]="Kyllä"),0,1)</f>
        <v>0</v>
      </c>
    </row>
    <row r="25" spans="1:22" ht="30" x14ac:dyDescent="0.25">
      <c r="A25" s="3" t="s">
        <v>6</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Kustannustehokas_ja_organisoitu!C25)), "K", "E")</f>
        <v>E</v>
      </c>
      <c r="E25" s="3" t="str">
        <f>IF(ISNUMBER(SEARCH(LV!$I$6, Kustannustehokas_ja_organisoitu!$C25)), "K", "E")</f>
        <v>E</v>
      </c>
      <c r="F25" s="3" t="str">
        <f>IF(ISNUMBER(SEARCH(LV!$I$7, Kustannustehokas_ja_organisoitu!$C25)), "K", "E")</f>
        <v>E</v>
      </c>
      <c r="G25" s="3" t="str">
        <f>IF(ISNUMBER(SEARCH(LV!$I$8, Kustannustehokas_ja_organisoitu!$C25)), "K", "E")</f>
        <v>E</v>
      </c>
      <c r="H25" s="3" t="str">
        <f>IF(OR(KysymyksetTaulukko2[[#This Row],[Toimiala A]]="K",KysymyksetTaulukko2[[#This Row],[Toimiala B]]="K",KysymyksetTaulukko2[[#This Row],[Toimiala C]]="K",KysymyksetTaulukko2[[#This Row],[Toimiala D]]="K"),"Kuuluu","Ei kuulu")</f>
        <v>Ei kuulu</v>
      </c>
      <c r="I25" s="3" t="str">
        <f>IF(OR(KysymyksetTaulukko2[[#This Row],[Luokka]]="Ei kuulu",KysymyksetTaulukko2[[#This Row],[Toimiala-
kysymys]]="Ei kuulu"), "Ei kuulu", "Kuuluu")</f>
        <v>Ei kuulu</v>
      </c>
      <c r="J25" s="3" t="str">
        <f>IF(KysymyksetTaulukko2[[#This Row],[Luokka + toimiala]]="Kuuluu","a) Oman vesilaitoksen kysymykset","b) Muut kysymykset")</f>
        <v>b) Muut kysymykset</v>
      </c>
      <c r="K25" s="9" t="s">
        <v>80</v>
      </c>
      <c r="L25" s="9" t="s">
        <v>241</v>
      </c>
      <c r="M25" s="61" t="str">
        <f>LEFT(KysymyksetTaulukko2[[#This Row],[Alakategoria_]],2)</f>
        <v>_O</v>
      </c>
      <c r="N25" s="107"/>
      <c r="O25" s="70"/>
      <c r="P25" s="67" t="str">
        <f>IF(AND(KysymyksetTaulukko2[[#This Row],[Luokka]]="Extra",KysymyksetTaulukko2[[#This Row],[Luokka + toimiala]]="Kuuluu"),"Extra","")</f>
        <v/>
      </c>
      <c r="Q25" s="114" t="s">
        <v>177</v>
      </c>
      <c r="R25" s="128" t="s">
        <v>101</v>
      </c>
      <c r="S25" s="158"/>
      <c r="T25" s="123">
        <f>IF(AND(KysymyksetTaulukko2[[#This Row],[Luokka + toimiala]]="Kuuluu",KysymyksetTaulukko2[[#This Row],[Vastaus]]="Kyllä"),1,0)</f>
        <v>0</v>
      </c>
      <c r="U25" s="121">
        <f>IF(AND(KysymyksetTaulukko2[[#This Row],[Maksimipisteet]]=1,NOT(ISBLANK(KysymyksetTaulukko2[[#This Row],[Vastaus]]))),1,0)</f>
        <v>0</v>
      </c>
      <c r="V25" s="123">
        <f>IF(OR(KysymyksetTaulukko2[[#This Row],[Luokka + toimiala]]="Ei kuulu",KysymyksetTaulukko2[[#This Row],[Vastaus]]="Ei koske",KysymyksetTaulukko2[[#This Row],[Luokka]]="Extra",KysymyksetTaulukko2[[#This Row],[Otsikkorivi]]="Kyllä"),0,1)</f>
        <v>0</v>
      </c>
    </row>
    <row r="26" spans="1:22" ht="30" x14ac:dyDescent="0.25">
      <c r="A26" s="3" t="s">
        <v>12</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Kustannustehokas_ja_organisoitu!C26)), "K", "E")</f>
        <v>E</v>
      </c>
      <c r="E26" s="3" t="str">
        <f>IF(ISNUMBER(SEARCH(LV!$I$6, Kustannustehokas_ja_organisoitu!$C26)), "K", "E")</f>
        <v>E</v>
      </c>
      <c r="F26" s="3" t="str">
        <f>IF(ISNUMBER(SEARCH(LV!$I$7, Kustannustehokas_ja_organisoitu!$C26)), "K", "E")</f>
        <v>E</v>
      </c>
      <c r="G26" s="3" t="str">
        <f>IF(ISNUMBER(SEARCH(LV!$I$8, Kustannustehokas_ja_organisoitu!$C26)), "K", "E")</f>
        <v>E</v>
      </c>
      <c r="H26" s="3" t="str">
        <f>IF(OR(KysymyksetTaulukko2[[#This Row],[Toimiala A]]="K",KysymyksetTaulukko2[[#This Row],[Toimiala B]]="K",KysymyksetTaulukko2[[#This Row],[Toimiala C]]="K",KysymyksetTaulukko2[[#This Row],[Toimiala D]]="K"),"Kuuluu","Ei kuulu")</f>
        <v>Ei kuulu</v>
      </c>
      <c r="I26" s="3" t="str">
        <f>IF(OR(KysymyksetTaulukko2[[#This Row],[Luokka]]="Ei kuulu",KysymyksetTaulukko2[[#This Row],[Toimiala-
kysymys]]="Ei kuulu"), "Ei kuulu", "Kuuluu")</f>
        <v>Ei kuulu</v>
      </c>
      <c r="J26" s="3" t="str">
        <f>IF(KysymyksetTaulukko2[[#This Row],[Luokka + toimiala]]="Kuuluu","a) Oman vesilaitoksen kysymykset","b) Muut kysymykset")</f>
        <v>b) Muut kysymykset</v>
      </c>
      <c r="K26" s="9" t="s">
        <v>80</v>
      </c>
      <c r="L26" s="9" t="s">
        <v>101</v>
      </c>
      <c r="M26" s="60" t="str">
        <f>LEFT(KysymyksetTaulukko2[[#This Row],[Alakategoria_]],2)</f>
        <v>7.</v>
      </c>
      <c r="N26" s="107"/>
      <c r="O26" s="70" t="s">
        <v>222</v>
      </c>
      <c r="P26" s="67" t="str">
        <f>IF(AND(KysymyksetTaulukko2[[#This Row],[Luokka]]="Extra",KysymyksetTaulukko2[[#This Row],[Luokka + toimiala]]="Kuuluu"),"Extra","")</f>
        <v/>
      </c>
      <c r="Q26" s="114"/>
      <c r="R26" s="64" t="s">
        <v>102</v>
      </c>
      <c r="S26" s="159"/>
      <c r="T26" s="123">
        <f>IF(AND(KysymyksetTaulukko2[[#This Row],[Luokka + toimiala]]="Kuuluu",KysymyksetTaulukko2[[#This Row],[Vastaus]]="Kyllä"),1,0)</f>
        <v>0</v>
      </c>
      <c r="U26" s="121">
        <f>IF(AND(KysymyksetTaulukko2[[#This Row],[Maksimipisteet]]=1,NOT(ISBLANK(KysymyksetTaulukko2[[#This Row],[Vastaus]]))),1,0)</f>
        <v>0</v>
      </c>
      <c r="V26" s="123">
        <f>IF(OR(KysymyksetTaulukko2[[#This Row],[Luokka + toimiala]]="Ei kuulu",KysymyksetTaulukko2[[#This Row],[Vastaus]]="Ei koske",KysymyksetTaulukko2[[#This Row],[Luokka]]="Extra",KysymyksetTaulukko2[[#This Row],[Otsikkorivi]]="Kyllä"),0,1)</f>
        <v>0</v>
      </c>
    </row>
    <row r="27" spans="1:22" ht="30" x14ac:dyDescent="0.25">
      <c r="A27" s="3" t="s">
        <v>12</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Kustannustehokas_ja_organisoitu!C27)), "K", "E")</f>
        <v>E</v>
      </c>
      <c r="E27" s="3" t="str">
        <f>IF(ISNUMBER(SEARCH(LV!$I$6, Kustannustehokas_ja_organisoitu!$C27)), "K", "E")</f>
        <v>E</v>
      </c>
      <c r="F27" s="3" t="str">
        <f>IF(ISNUMBER(SEARCH(LV!$I$7, Kustannustehokas_ja_organisoitu!$C27)), "K", "E")</f>
        <v>E</v>
      </c>
      <c r="G27" s="3" t="str">
        <f>IF(ISNUMBER(SEARCH(LV!$I$8, Kustannustehokas_ja_organisoitu!$C27)), "K", "E")</f>
        <v>E</v>
      </c>
      <c r="H27" s="3" t="str">
        <f>IF(OR(KysymyksetTaulukko2[[#This Row],[Toimiala A]]="K",KysymyksetTaulukko2[[#This Row],[Toimiala B]]="K",KysymyksetTaulukko2[[#This Row],[Toimiala C]]="K",KysymyksetTaulukko2[[#This Row],[Toimiala D]]="K"),"Kuuluu","Ei kuulu")</f>
        <v>Ei kuulu</v>
      </c>
      <c r="I27" s="3" t="str">
        <f>IF(OR(KysymyksetTaulukko2[[#This Row],[Luokka]]="Ei kuulu",KysymyksetTaulukko2[[#This Row],[Toimiala-
kysymys]]="Ei kuulu"), "Ei kuulu", "Kuuluu")</f>
        <v>Ei kuulu</v>
      </c>
      <c r="J27" s="3" t="str">
        <f>IF(KysymyksetTaulukko2[[#This Row],[Luokka + toimiala]]="Kuuluu","a) Oman vesilaitoksen kysymykset","b) Muut kysymykset")</f>
        <v>b) Muut kysymykset</v>
      </c>
      <c r="K27" s="9" t="s">
        <v>80</v>
      </c>
      <c r="L27" s="9" t="s">
        <v>101</v>
      </c>
      <c r="M27" s="61" t="str">
        <f>LEFT(KysymyksetTaulukko2[[#This Row],[Alakategoria_]],2)</f>
        <v>7.</v>
      </c>
      <c r="N27" s="107" t="s">
        <v>11</v>
      </c>
      <c r="O27" s="70" t="s">
        <v>206</v>
      </c>
      <c r="P27" s="67" t="str">
        <f>IF(AND(KysymyksetTaulukko2[[#This Row],[Luokka]]="Extra",KysymyksetTaulukko2[[#This Row],[Luokka + toimiala]]="Kuuluu"),"Extra","")</f>
        <v/>
      </c>
      <c r="Q27" s="114"/>
      <c r="R27" s="64" t="s">
        <v>277</v>
      </c>
      <c r="S27" s="159"/>
      <c r="T27" s="123">
        <f>IF(AND(KysymyksetTaulukko2[[#This Row],[Luokka + toimiala]]="Kuuluu",KysymyksetTaulukko2[[#This Row],[Vastaus]]="Kyllä"),1,0)</f>
        <v>0</v>
      </c>
      <c r="U27" s="121">
        <f>IF(AND(KysymyksetTaulukko2[[#This Row],[Maksimipisteet]]=1,NOT(ISBLANK(KysymyksetTaulukko2[[#This Row],[Vastaus]]))),1,0)</f>
        <v>0</v>
      </c>
      <c r="V27" s="123">
        <f>IF(OR(KysymyksetTaulukko2[[#This Row],[Luokka + toimiala]]="Ei kuulu",KysymyksetTaulukko2[[#This Row],[Vastaus]]="Ei koske",KysymyksetTaulukko2[[#This Row],[Luokka]]="Extra",KysymyksetTaulukko2[[#This Row],[Otsikkorivi]]="Kyllä"),0,1)</f>
        <v>0</v>
      </c>
    </row>
    <row r="28" spans="1:22" ht="30" x14ac:dyDescent="0.25">
      <c r="A28" s="3" t="s">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28</v>
      </c>
      <c r="D28" s="3" t="str">
        <f>IF(ISNUMBER(SEARCH(LV!$I$5, Kustannustehokas_ja_organisoitu!C28)), "K", "E")</f>
        <v>E</v>
      </c>
      <c r="E28" s="3" t="str">
        <f>IF(ISNUMBER(SEARCH(LV!$I$6, Kustannustehokas_ja_organisoitu!$C28)), "K", "E")</f>
        <v>E</v>
      </c>
      <c r="F28" s="3" t="str">
        <f>IF(ISNUMBER(SEARCH(LV!$I$7, Kustannustehokas_ja_organisoitu!$C28)), "K", "E")</f>
        <v>E</v>
      </c>
      <c r="G28" s="3" t="str">
        <f>IF(ISNUMBER(SEARCH(LV!$I$8, Kustannustehokas_ja_organisoitu!$C28)), "K", "E")</f>
        <v>E</v>
      </c>
      <c r="H28" s="3" t="str">
        <f>IF(OR(KysymyksetTaulukko2[[#This Row],[Toimiala A]]="K",KysymyksetTaulukko2[[#This Row],[Toimiala B]]="K",KysymyksetTaulukko2[[#This Row],[Toimiala C]]="K",KysymyksetTaulukko2[[#This Row],[Toimiala D]]="K"),"Kuuluu","Ei kuulu")</f>
        <v>Ei kuulu</v>
      </c>
      <c r="I28" s="3" t="str">
        <f>IF(OR(KysymyksetTaulukko2[[#This Row],[Luokka]]="Ei kuulu",KysymyksetTaulukko2[[#This Row],[Toimiala-
kysymys]]="Ei kuulu"), "Ei kuulu", "Kuuluu")</f>
        <v>Ei kuulu</v>
      </c>
      <c r="J28" s="3" t="str">
        <f>IF(KysymyksetTaulukko2[[#This Row],[Luokka + toimiala]]="Kuuluu","a) Oman vesilaitoksen kysymykset","b) Muut kysymykset")</f>
        <v>b) Muut kysymykset</v>
      </c>
      <c r="K28" s="9" t="s">
        <v>80</v>
      </c>
      <c r="L28" s="9" t="s">
        <v>101</v>
      </c>
      <c r="M28" s="61" t="str">
        <f>LEFT(KysymyksetTaulukko2[[#This Row],[Alakategoria_]],2)</f>
        <v>7.</v>
      </c>
      <c r="N28" s="107" t="s">
        <v>11</v>
      </c>
      <c r="O28" s="70" t="s">
        <v>206</v>
      </c>
      <c r="P28" s="67" t="str">
        <f>IF(AND(KysymyksetTaulukko2[[#This Row],[Luokka]]="Extra",KysymyksetTaulukko2[[#This Row],[Luokka + toimiala]]="Kuuluu"),"Extra","")</f>
        <v/>
      </c>
      <c r="Q28" s="114"/>
      <c r="R28" s="64" t="s">
        <v>276</v>
      </c>
      <c r="S28" s="159"/>
      <c r="T28" s="123">
        <f>IF(AND(KysymyksetTaulukko2[[#This Row],[Luokka + toimiala]]="Kuuluu",KysymyksetTaulukko2[[#This Row],[Vastaus]]="Kyllä"),1,0)</f>
        <v>0</v>
      </c>
      <c r="U28" s="121">
        <f>IF(AND(KysymyksetTaulukko2[[#This Row],[Maksimipisteet]]=1,NOT(ISBLANK(KysymyksetTaulukko2[[#This Row],[Vastaus]]))),1,0)</f>
        <v>0</v>
      </c>
      <c r="V28" s="123">
        <f>IF(OR(KysymyksetTaulukko2[[#This Row],[Luokka + toimiala]]="Ei kuulu",KysymyksetTaulukko2[[#This Row],[Vastaus]]="Ei koske",KysymyksetTaulukko2[[#This Row],[Luokka]]="Extra",KysymyksetTaulukko2[[#This Row],[Otsikkorivi]]="Kyllä"),0,1)</f>
        <v>0</v>
      </c>
    </row>
    <row r="29" spans="1:22" ht="30" x14ac:dyDescent="0.25">
      <c r="A29" s="3" t="s">
        <v>12</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28</v>
      </c>
      <c r="D29" s="3" t="str">
        <f>IF(ISNUMBER(SEARCH(LV!$I$5, Kustannustehokas_ja_organisoitu!C29)), "K", "E")</f>
        <v>E</v>
      </c>
      <c r="E29" s="3" t="str">
        <f>IF(ISNUMBER(SEARCH(LV!$I$6, Kustannustehokas_ja_organisoitu!$C29)), "K", "E")</f>
        <v>E</v>
      </c>
      <c r="F29" s="3" t="str">
        <f>IF(ISNUMBER(SEARCH(LV!$I$7, Kustannustehokas_ja_organisoitu!$C29)), "K", "E")</f>
        <v>E</v>
      </c>
      <c r="G29" s="3" t="str">
        <f>IF(ISNUMBER(SEARCH(LV!$I$8, Kustannustehokas_ja_organisoitu!$C29)), "K", "E")</f>
        <v>E</v>
      </c>
      <c r="H29" s="3" t="str">
        <f>IF(OR(KysymyksetTaulukko2[[#This Row],[Toimiala A]]="K",KysymyksetTaulukko2[[#This Row],[Toimiala B]]="K",KysymyksetTaulukko2[[#This Row],[Toimiala C]]="K",KysymyksetTaulukko2[[#This Row],[Toimiala D]]="K"),"Kuuluu","Ei kuulu")</f>
        <v>Ei kuulu</v>
      </c>
      <c r="I29" s="3" t="str">
        <f>IF(OR(KysymyksetTaulukko2[[#This Row],[Luokka]]="Ei kuulu",KysymyksetTaulukko2[[#This Row],[Toimiala-
kysymys]]="Ei kuulu"), "Ei kuulu", "Kuuluu")</f>
        <v>Ei kuulu</v>
      </c>
      <c r="J29" s="3" t="str">
        <f>IF(KysymyksetTaulukko2[[#This Row],[Luokka + toimiala]]="Kuuluu","a) Oman vesilaitoksen kysymykset","b) Muut kysymykset")</f>
        <v>b) Muut kysymykset</v>
      </c>
      <c r="K29" s="9" t="s">
        <v>80</v>
      </c>
      <c r="L29" s="9" t="s">
        <v>101</v>
      </c>
      <c r="M29" s="61" t="str">
        <f>LEFT(KysymyksetTaulukko2[[#This Row],[Alakategoria_]],2)</f>
        <v>7.</v>
      </c>
      <c r="N29" s="107"/>
      <c r="O29" s="70" t="s">
        <v>222</v>
      </c>
      <c r="P29" s="67" t="str">
        <f>IF(AND(KysymyksetTaulukko2[[#This Row],[Luokka]]="Extra",KysymyksetTaulukko2[[#This Row],[Luokka + toimiala]]="Kuuluu"),"Extra","")</f>
        <v/>
      </c>
      <c r="Q29" s="114"/>
      <c r="R29" s="64" t="s">
        <v>105</v>
      </c>
      <c r="S29" s="159"/>
      <c r="T29" s="123">
        <f>IF(AND(KysymyksetTaulukko2[[#This Row],[Luokka + toimiala]]="Kuuluu",KysymyksetTaulukko2[[#This Row],[Vastaus]]="Kyllä"),1,0)</f>
        <v>0</v>
      </c>
      <c r="U29" s="121">
        <f>IF(AND(KysymyksetTaulukko2[[#This Row],[Maksimipisteet]]=1,NOT(ISBLANK(KysymyksetTaulukko2[[#This Row],[Vastaus]]))),1,0)</f>
        <v>0</v>
      </c>
      <c r="V29" s="123">
        <f>IF(OR(KysymyksetTaulukko2[[#This Row],[Luokka + toimiala]]="Ei kuulu",KysymyksetTaulukko2[[#This Row],[Vastaus]]="Ei koske",KysymyksetTaulukko2[[#This Row],[Luokka]]="Extra",KysymyksetTaulukko2[[#This Row],[Otsikkorivi]]="Kyllä"),0,1)</f>
        <v>0</v>
      </c>
    </row>
    <row r="30" spans="1:22" ht="30" x14ac:dyDescent="0.2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28</v>
      </c>
      <c r="D30" s="3" t="str">
        <f>IF(ISNUMBER(SEARCH(LV!$I$5, Kustannustehokas_ja_organisoitu!C30)), "K", "E")</f>
        <v>E</v>
      </c>
      <c r="E30" s="3" t="str">
        <f>IF(ISNUMBER(SEARCH(LV!$I$6, Kustannustehokas_ja_organisoitu!$C30)), "K", "E")</f>
        <v>E</v>
      </c>
      <c r="F30" s="3" t="str">
        <f>IF(ISNUMBER(SEARCH(LV!$I$7, Kustannustehokas_ja_organisoitu!$C30)), "K", "E")</f>
        <v>E</v>
      </c>
      <c r="G30" s="3" t="str">
        <f>IF(ISNUMBER(SEARCH(LV!$I$8, Kustannustehokas_ja_organisoitu!$C30)), "K", "E")</f>
        <v>E</v>
      </c>
      <c r="H30" s="3" t="str">
        <f>IF(OR(KysymyksetTaulukko2[[#This Row],[Toimiala A]]="K",KysymyksetTaulukko2[[#This Row],[Toimiala B]]="K",KysymyksetTaulukko2[[#This Row],[Toimiala C]]="K",KysymyksetTaulukko2[[#This Row],[Toimiala D]]="K"),"Kuuluu","Ei kuulu")</f>
        <v>Ei kuulu</v>
      </c>
      <c r="I30" s="3" t="str">
        <f>IF(OR(KysymyksetTaulukko2[[#This Row],[Luokka]]="Ei kuulu",KysymyksetTaulukko2[[#This Row],[Toimiala-
kysymys]]="Ei kuulu"), "Ei kuulu", "Kuuluu")</f>
        <v>Ei kuulu</v>
      </c>
      <c r="J30" s="3" t="str">
        <f>IF(KysymyksetTaulukko2[[#This Row],[Luokka + toimiala]]="Kuuluu","a) Oman vesilaitoksen kysymykset","b) Muut kysymykset")</f>
        <v>b) Muut kysymykset</v>
      </c>
      <c r="K30" s="9" t="s">
        <v>80</v>
      </c>
      <c r="L30" s="9" t="s">
        <v>101</v>
      </c>
      <c r="M30" s="61" t="str">
        <f>LEFT(KysymyksetTaulukko2[[#This Row],[Alakategoria_]],2)</f>
        <v>7.</v>
      </c>
      <c r="N30" s="107" t="s">
        <v>11</v>
      </c>
      <c r="O30" s="70" t="s">
        <v>206</v>
      </c>
      <c r="P30" s="67" t="str">
        <f>IF(AND(KysymyksetTaulukko2[[#This Row],[Luokka]]="Extra",KysymyksetTaulukko2[[#This Row],[Luokka + toimiala]]="Kuuluu"),"Extra","")</f>
        <v/>
      </c>
      <c r="Q30" s="114"/>
      <c r="R30" s="64" t="s">
        <v>106</v>
      </c>
      <c r="S30" s="159"/>
      <c r="T30" s="123">
        <f>IF(AND(KysymyksetTaulukko2[[#This Row],[Luokka + toimiala]]="Kuuluu",KysymyksetTaulukko2[[#This Row],[Vastaus]]="Kyllä"),1,0)</f>
        <v>0</v>
      </c>
      <c r="U30" s="121">
        <f>IF(AND(KysymyksetTaulukko2[[#This Row],[Maksimipisteet]]=1,NOT(ISBLANK(KysymyksetTaulukko2[[#This Row],[Vastaus]]))),1,0)</f>
        <v>0</v>
      </c>
      <c r="V30" s="123">
        <f>IF(OR(KysymyksetTaulukko2[[#This Row],[Luokka + toimiala]]="Ei kuulu",KysymyksetTaulukko2[[#This Row],[Vastaus]]="Ei koske",KysymyksetTaulukko2[[#This Row],[Luokka]]="Extra",KysymyksetTaulukko2[[#This Row],[Otsikkorivi]]="Kyllä"),0,1)</f>
        <v>0</v>
      </c>
    </row>
    <row r="31" spans="1:22" s="1" customFormat="1" ht="30" x14ac:dyDescent="0.25">
      <c r="A31" s="3">
        <v>1</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28</v>
      </c>
      <c r="D31" s="3" t="str">
        <f>IF(ISNUMBER(SEARCH(LV!$I$5, Kustannustehokas_ja_organisoitu!C31)), "K", "E")</f>
        <v>E</v>
      </c>
      <c r="E31" s="3" t="str">
        <f>IF(ISNUMBER(SEARCH(LV!$I$6, Kustannustehokas_ja_organisoitu!$C31)), "K", "E")</f>
        <v>E</v>
      </c>
      <c r="F31" s="3" t="str">
        <f>IF(ISNUMBER(SEARCH(LV!$I$7, Kustannustehokas_ja_organisoitu!$C31)), "K", "E")</f>
        <v>E</v>
      </c>
      <c r="G31" s="3" t="str">
        <f>IF(ISNUMBER(SEARCH(LV!$I$8, Kustannustehokas_ja_organisoitu!$C31)), "K", "E")</f>
        <v>E</v>
      </c>
      <c r="H31" s="3" t="str">
        <f>IF(OR(KysymyksetTaulukko2[[#This Row],[Toimiala A]]="K",KysymyksetTaulukko2[[#This Row],[Toimiala B]]="K",KysymyksetTaulukko2[[#This Row],[Toimiala C]]="K",KysymyksetTaulukko2[[#This Row],[Toimiala D]]="K"),"Kuuluu","Ei kuulu")</f>
        <v>Ei kuulu</v>
      </c>
      <c r="I31" s="3" t="str">
        <f>IF(OR(KysymyksetTaulukko2[[#This Row],[Luokka]]="Ei kuulu",KysymyksetTaulukko2[[#This Row],[Toimiala-
kysymys]]="Ei kuulu"), "Ei kuulu", "Kuuluu")</f>
        <v>Ei kuulu</v>
      </c>
      <c r="J31" s="3" t="str">
        <f>IF(KysymyksetTaulukko2[[#This Row],[Luokka + toimiala]]="Kuuluu","a) Oman vesilaitoksen kysymykset","b) Muut kysymykset")</f>
        <v>b) Muut kysymykset</v>
      </c>
      <c r="K31" s="9" t="s">
        <v>80</v>
      </c>
      <c r="L31" s="9" t="s">
        <v>101</v>
      </c>
      <c r="M31" s="61" t="str">
        <f>LEFT(KysymyksetTaulukko2[[#This Row],[Alakategoria_]],2)</f>
        <v>7.</v>
      </c>
      <c r="N31" s="107"/>
      <c r="O31" s="70" t="s">
        <v>222</v>
      </c>
      <c r="P31" s="67" t="str">
        <f>IF(AND(KysymyksetTaulukko2[[#This Row],[Luokka]]="Extra",KysymyksetTaulukko2[[#This Row],[Luokka + toimiala]]="Kuuluu"),"Extra","")</f>
        <v/>
      </c>
      <c r="Q31" s="114"/>
      <c r="R31" s="64" t="s">
        <v>107</v>
      </c>
      <c r="S31" s="159"/>
      <c r="T31" s="123">
        <f>IF(AND(KysymyksetTaulukko2[[#This Row],[Luokka + toimiala]]="Kuuluu",KysymyksetTaulukko2[[#This Row],[Vastaus]]="Kyllä"),1,0)</f>
        <v>0</v>
      </c>
      <c r="U31" s="121">
        <f>IF(AND(KysymyksetTaulukko2[[#This Row],[Maksimipisteet]]=1,NOT(ISBLANK(KysymyksetTaulukko2[[#This Row],[Vastaus]]))),1,0)</f>
        <v>0</v>
      </c>
      <c r="V31" s="123">
        <f>IF(OR(KysymyksetTaulukko2[[#This Row],[Luokka + toimiala]]="Ei kuulu",KysymyksetTaulukko2[[#This Row],[Vastaus]]="Ei koske",KysymyksetTaulukko2[[#This Row],[Luokka]]="Extra",KysymyksetTaulukko2[[#This Row],[Otsikkorivi]]="Kyllä"),0,1)</f>
        <v>0</v>
      </c>
    </row>
    <row r="32" spans="1:22" ht="30" x14ac:dyDescent="0.25">
      <c r="A32" s="3" t="s">
        <v>19</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28</v>
      </c>
      <c r="D32" s="3" t="str">
        <f>IF(ISNUMBER(SEARCH(LV!$I$5, Kustannustehokas_ja_organisoitu!C32)), "K", "E")</f>
        <v>E</v>
      </c>
      <c r="E32" s="3" t="str">
        <f>IF(ISNUMBER(SEARCH(LV!$I$6, Kustannustehokas_ja_organisoitu!$C32)), "K", "E")</f>
        <v>E</v>
      </c>
      <c r="F32" s="3" t="str">
        <f>IF(ISNUMBER(SEARCH(LV!$I$7, Kustannustehokas_ja_organisoitu!$C32)), "K", "E")</f>
        <v>E</v>
      </c>
      <c r="G32" s="3" t="str">
        <f>IF(ISNUMBER(SEARCH(LV!$I$8, Kustannustehokas_ja_organisoitu!$C32)), "K", "E")</f>
        <v>E</v>
      </c>
      <c r="H32" s="3" t="str">
        <f>IF(OR(KysymyksetTaulukko2[[#This Row],[Toimiala A]]="K",KysymyksetTaulukko2[[#This Row],[Toimiala B]]="K",KysymyksetTaulukko2[[#This Row],[Toimiala C]]="K",KysymyksetTaulukko2[[#This Row],[Toimiala D]]="K"),"Kuuluu","Ei kuulu")</f>
        <v>Ei kuulu</v>
      </c>
      <c r="I32" s="3" t="str">
        <f>IF(OR(KysymyksetTaulukko2[[#This Row],[Luokka]]="Ei kuulu",KysymyksetTaulukko2[[#This Row],[Toimiala-
kysymys]]="Ei kuulu"), "Ei kuulu", "Kuuluu")</f>
        <v>Ei kuulu</v>
      </c>
      <c r="J32" s="3" t="str">
        <f>IF(KysymyksetTaulukko2[[#This Row],[Luokka + toimiala]]="Kuuluu","a) Oman vesilaitoksen kysymykset","b) Muut kysymykset")</f>
        <v>b) Muut kysymykset</v>
      </c>
      <c r="K32" s="9" t="s">
        <v>80</v>
      </c>
      <c r="L32" s="9" t="s">
        <v>101</v>
      </c>
      <c r="M32" s="61" t="str">
        <f>LEFT(KysymyksetTaulukko2[[#This Row],[Alakategoria_]],2)</f>
        <v>7.</v>
      </c>
      <c r="N32" s="107"/>
      <c r="O32" s="70" t="s">
        <v>222</v>
      </c>
      <c r="P32" s="67" t="str">
        <f>IF(AND(KysymyksetTaulukko2[[#This Row],[Luokka]]="Extra",KysymyksetTaulukko2[[#This Row],[Luokka + toimiala]]="Kuuluu"),"Extra","")</f>
        <v/>
      </c>
      <c r="Q32" s="114"/>
      <c r="R32" s="64" t="s">
        <v>108</v>
      </c>
      <c r="S32" s="159"/>
      <c r="T32" s="123">
        <f>IF(AND(KysymyksetTaulukko2[[#This Row],[Luokka + toimiala]]="Kuuluu",KysymyksetTaulukko2[[#This Row],[Vastaus]]="Kyllä"),1,0)</f>
        <v>0</v>
      </c>
      <c r="U32" s="121">
        <f>IF(AND(KysymyksetTaulukko2[[#This Row],[Maksimipisteet]]=1,NOT(ISBLANK(KysymyksetTaulukko2[[#This Row],[Vastaus]]))),1,0)</f>
        <v>0</v>
      </c>
      <c r="V32" s="123">
        <f>IF(OR(KysymyksetTaulukko2[[#This Row],[Luokka + toimiala]]="Ei kuulu",KysymyksetTaulukko2[[#This Row],[Vastaus]]="Ei koske",KysymyksetTaulukko2[[#This Row],[Luokka]]="Extra",KysymyksetTaulukko2[[#This Row],[Otsikkorivi]]="Kyllä"),0,1)</f>
        <v>0</v>
      </c>
    </row>
    <row r="33" spans="1:22" ht="30" x14ac:dyDescent="0.25">
      <c r="A33" s="3">
        <v>3.4</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28</v>
      </c>
      <c r="D33" s="3" t="str">
        <f>IF(ISNUMBER(SEARCH(LV!$I$5, Kustannustehokas_ja_organisoitu!C33)), "K", "E")</f>
        <v>E</v>
      </c>
      <c r="E33" s="3" t="str">
        <f>IF(ISNUMBER(SEARCH(LV!$I$6, Kustannustehokas_ja_organisoitu!$C33)), "K", "E")</f>
        <v>E</v>
      </c>
      <c r="F33" s="3" t="str">
        <f>IF(ISNUMBER(SEARCH(LV!$I$7, Kustannustehokas_ja_organisoitu!$C33)), "K", "E")</f>
        <v>E</v>
      </c>
      <c r="G33" s="3" t="str">
        <f>IF(ISNUMBER(SEARCH(LV!$I$8, Kustannustehokas_ja_organisoitu!$C33)), "K", "E")</f>
        <v>E</v>
      </c>
      <c r="H33" s="3" t="str">
        <f>IF(OR(KysymyksetTaulukko2[[#This Row],[Toimiala A]]="K",KysymyksetTaulukko2[[#This Row],[Toimiala B]]="K",KysymyksetTaulukko2[[#This Row],[Toimiala C]]="K",KysymyksetTaulukko2[[#This Row],[Toimiala D]]="K"),"Kuuluu","Ei kuulu")</f>
        <v>Ei kuulu</v>
      </c>
      <c r="I33" s="3" t="str">
        <f>IF(OR(KysymyksetTaulukko2[[#This Row],[Luokka]]="Ei kuulu",KysymyksetTaulukko2[[#This Row],[Toimiala-
kysymys]]="Ei kuulu"), "Ei kuulu", "Kuuluu")</f>
        <v>Ei kuulu</v>
      </c>
      <c r="J33" s="3" t="str">
        <f>IF(KysymyksetTaulukko2[[#This Row],[Luokka + toimiala]]="Kuuluu","a) Oman vesilaitoksen kysymykset","b) Muut kysymykset")</f>
        <v>b) Muut kysymykset</v>
      </c>
      <c r="K33" s="9" t="s">
        <v>80</v>
      </c>
      <c r="L33" s="9" t="s">
        <v>101</v>
      </c>
      <c r="M33" s="61" t="str">
        <f>LEFT(KysymyksetTaulukko2[[#This Row],[Alakategoria_]],2)</f>
        <v>7.</v>
      </c>
      <c r="N33" s="107"/>
      <c r="O33" s="70" t="s">
        <v>222</v>
      </c>
      <c r="P33" s="67" t="str">
        <f>IF(AND(KysymyksetTaulukko2[[#This Row],[Luokka]]="Extra",KysymyksetTaulukko2[[#This Row],[Luokka + toimiala]]="Kuuluu"),"Extra","")</f>
        <v/>
      </c>
      <c r="Q33" s="114"/>
      <c r="R33" s="64" t="s">
        <v>109</v>
      </c>
      <c r="S33" s="159"/>
      <c r="T33" s="123">
        <f>IF(AND(KysymyksetTaulukko2[[#This Row],[Luokka + toimiala]]="Kuuluu",KysymyksetTaulukko2[[#This Row],[Vastaus]]="Kyllä"),1,0)</f>
        <v>0</v>
      </c>
      <c r="U33" s="121">
        <f>IF(AND(KysymyksetTaulukko2[[#This Row],[Maksimipisteet]]=1,NOT(ISBLANK(KysymyksetTaulukko2[[#This Row],[Vastaus]]))),1,0)</f>
        <v>0</v>
      </c>
      <c r="V33" s="123">
        <f>IF(OR(KysymyksetTaulukko2[[#This Row],[Luokka + toimiala]]="Ei kuulu",KysymyksetTaulukko2[[#This Row],[Vastaus]]="Ei koske",KysymyksetTaulukko2[[#This Row],[Luokka]]="Extra",KysymyksetTaulukko2[[#This Row],[Otsikkorivi]]="Kyllä"),0,1)</f>
        <v>0</v>
      </c>
    </row>
    <row r="34" spans="1:22" ht="30" x14ac:dyDescent="0.25">
      <c r="A34" s="3">
        <v>3.4</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44</v>
      </c>
      <c r="D34" s="3" t="str">
        <f>IF(ISNUMBER(SEARCH(LV!$I$5, Kustannustehokas_ja_organisoitu!C34)), "K", "E")</f>
        <v>E</v>
      </c>
      <c r="E34" s="3" t="str">
        <f>IF(ISNUMBER(SEARCH(LV!$I$6, Kustannustehokas_ja_organisoitu!$C34)), "K", "E")</f>
        <v>E</v>
      </c>
      <c r="F34" s="3" t="str">
        <f>IF(ISNUMBER(SEARCH(LV!$I$7, Kustannustehokas_ja_organisoitu!$C34)), "K", "E")</f>
        <v>E</v>
      </c>
      <c r="G34" s="3" t="str">
        <f>IF(ISNUMBER(SEARCH(LV!$I$8, Kustannustehokas_ja_organisoitu!$C34)), "K", "E")</f>
        <v>E</v>
      </c>
      <c r="H34" s="3" t="str">
        <f>IF(OR(KysymyksetTaulukko2[[#This Row],[Toimiala A]]="K",KysymyksetTaulukko2[[#This Row],[Toimiala B]]="K",KysymyksetTaulukko2[[#This Row],[Toimiala C]]="K",KysymyksetTaulukko2[[#This Row],[Toimiala D]]="K"),"Kuuluu","Ei kuulu")</f>
        <v>Ei kuulu</v>
      </c>
      <c r="I34" s="3" t="str">
        <f>IF(OR(KysymyksetTaulukko2[[#This Row],[Luokka]]="Ei kuulu",KysymyksetTaulukko2[[#This Row],[Toimiala-
kysymys]]="Ei kuulu"), "Ei kuulu", "Kuuluu")</f>
        <v>Ei kuulu</v>
      </c>
      <c r="J34" s="3" t="str">
        <f>IF(KysymyksetTaulukko2[[#This Row],[Luokka + toimiala]]="Kuuluu","a) Oman vesilaitoksen kysymykset","b) Muut kysymykset")</f>
        <v>b) Muut kysymykset</v>
      </c>
      <c r="K34" s="9" t="s">
        <v>80</v>
      </c>
      <c r="L34" s="9" t="s">
        <v>101</v>
      </c>
      <c r="M34" s="61" t="str">
        <f>LEFT(KysymyksetTaulukko2[[#This Row],[Alakategoria_]],2)</f>
        <v>7.</v>
      </c>
      <c r="N34" s="107"/>
      <c r="O34" s="70" t="s">
        <v>222</v>
      </c>
      <c r="P34" s="67" t="str">
        <f>IF(AND(KysymyksetTaulukko2[[#This Row],[Luokka]]="Extra",KysymyksetTaulukko2[[#This Row],[Luokka + toimiala]]="Kuuluu"),"Extra","")</f>
        <v/>
      </c>
      <c r="Q34" s="114"/>
      <c r="R34" s="64" t="s">
        <v>110</v>
      </c>
      <c r="S34" s="159"/>
      <c r="T34" s="123">
        <f>IF(AND(KysymyksetTaulukko2[[#This Row],[Luokka + toimiala]]="Kuuluu",KysymyksetTaulukko2[[#This Row],[Vastaus]]="Kyllä"),1,0)</f>
        <v>0</v>
      </c>
      <c r="U34" s="121">
        <f>IF(AND(KysymyksetTaulukko2[[#This Row],[Maksimipisteet]]=1,NOT(ISBLANK(KysymyksetTaulukko2[[#This Row],[Vastaus]]))),1,0)</f>
        <v>0</v>
      </c>
      <c r="V34" s="123">
        <f>IF(OR(KysymyksetTaulukko2[[#This Row],[Luokka + toimiala]]="Ei kuulu",KysymyksetTaulukko2[[#This Row],[Vastaus]]="Ei koske",KysymyksetTaulukko2[[#This Row],[Luokka]]="Extra",KysymyksetTaulukko2[[#This Row],[Otsikkorivi]]="Kyllä"),0,1)</f>
        <v>0</v>
      </c>
    </row>
    <row r="35" spans="1:22" ht="30" x14ac:dyDescent="0.25">
      <c r="A35" s="3">
        <v>4</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28</v>
      </c>
      <c r="D35" s="3" t="str">
        <f>IF(ISNUMBER(SEARCH(LV!$I$5, Kustannustehokas_ja_organisoitu!C35)), "K", "E")</f>
        <v>E</v>
      </c>
      <c r="E35" s="3" t="str">
        <f>IF(ISNUMBER(SEARCH(LV!$I$6, Kustannustehokas_ja_organisoitu!$C35)), "K", "E")</f>
        <v>E</v>
      </c>
      <c r="F35" s="3" t="str">
        <f>IF(ISNUMBER(SEARCH(LV!$I$7, Kustannustehokas_ja_organisoitu!$C35)), "K", "E")</f>
        <v>E</v>
      </c>
      <c r="G35" s="3" t="str">
        <f>IF(ISNUMBER(SEARCH(LV!$I$8, Kustannustehokas_ja_organisoitu!$C35)), "K", "E")</f>
        <v>E</v>
      </c>
      <c r="H35" s="3" t="str">
        <f>IF(OR(KysymyksetTaulukko2[[#This Row],[Toimiala A]]="K",KysymyksetTaulukko2[[#This Row],[Toimiala B]]="K",KysymyksetTaulukko2[[#This Row],[Toimiala C]]="K",KysymyksetTaulukko2[[#This Row],[Toimiala D]]="K"),"Kuuluu","Ei kuulu")</f>
        <v>Ei kuulu</v>
      </c>
      <c r="I35" s="3" t="str">
        <f>IF(OR(KysymyksetTaulukko2[[#This Row],[Luokka]]="Ei kuulu",KysymyksetTaulukko2[[#This Row],[Toimiala-
kysymys]]="Ei kuulu"), "Ei kuulu", "Kuuluu")</f>
        <v>Ei kuulu</v>
      </c>
      <c r="J35" s="3" t="str">
        <f>IF(KysymyksetTaulukko2[[#This Row],[Luokka + toimiala]]="Kuuluu","a) Oman vesilaitoksen kysymykset","b) Muut kysymykset")</f>
        <v>b) Muut kysymykset</v>
      </c>
      <c r="K35" s="9" t="s">
        <v>80</v>
      </c>
      <c r="L35" s="9" t="s">
        <v>101</v>
      </c>
      <c r="M35" s="61" t="str">
        <f>LEFT(KysymyksetTaulukko2[[#This Row],[Alakategoria_]],2)</f>
        <v>7.</v>
      </c>
      <c r="N35" s="107"/>
      <c r="O35" s="70" t="s">
        <v>222</v>
      </c>
      <c r="P35" s="67" t="str">
        <f>IF(AND(KysymyksetTaulukko2[[#This Row],[Luokka]]="Extra",KysymyksetTaulukko2[[#This Row],[Luokka + toimiala]]="Kuuluu"),"Extra","")</f>
        <v/>
      </c>
      <c r="Q35" s="114"/>
      <c r="R35" s="64" t="s">
        <v>111</v>
      </c>
      <c r="S35" s="159"/>
      <c r="T35" s="123">
        <f>IF(AND(KysymyksetTaulukko2[[#This Row],[Luokka + toimiala]]="Kuuluu",KysymyksetTaulukko2[[#This Row],[Vastaus]]="Kyllä"),1,0)</f>
        <v>0</v>
      </c>
      <c r="U35" s="121">
        <f>IF(AND(KysymyksetTaulukko2[[#This Row],[Maksimipisteet]]=1,NOT(ISBLANK(KysymyksetTaulukko2[[#This Row],[Vastaus]]))),1,0)</f>
        <v>0</v>
      </c>
      <c r="V35" s="123">
        <f>IF(OR(KysymyksetTaulukko2[[#This Row],[Luokka + toimiala]]="Ei kuulu",KysymyksetTaulukko2[[#This Row],[Vastaus]]="Ei koske",KysymyksetTaulukko2[[#This Row],[Luokka]]="Extra",KysymyksetTaulukko2[[#This Row],[Otsikkorivi]]="Kyllä"),0,1)</f>
        <v>0</v>
      </c>
    </row>
    <row r="36" spans="1:22" ht="30" x14ac:dyDescent="0.25">
      <c r="A36" s="3">
        <v>5</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28</v>
      </c>
      <c r="D36" s="3" t="str">
        <f>IF(ISNUMBER(SEARCH(LV!$I$5, Kustannustehokas_ja_organisoitu!C36)), "K", "E")</f>
        <v>E</v>
      </c>
      <c r="E36" s="3" t="str">
        <f>IF(ISNUMBER(SEARCH(LV!$I$6, Kustannustehokas_ja_organisoitu!$C36)), "K", "E")</f>
        <v>E</v>
      </c>
      <c r="F36" s="3" t="str">
        <f>IF(ISNUMBER(SEARCH(LV!$I$7, Kustannustehokas_ja_organisoitu!$C36)), "K", "E")</f>
        <v>E</v>
      </c>
      <c r="G36" s="3" t="str">
        <f>IF(ISNUMBER(SEARCH(LV!$I$8, Kustannustehokas_ja_organisoitu!$C36)), "K", "E")</f>
        <v>E</v>
      </c>
      <c r="H36" s="3" t="str">
        <f>IF(OR(KysymyksetTaulukko2[[#This Row],[Toimiala A]]="K",KysymyksetTaulukko2[[#This Row],[Toimiala B]]="K",KysymyksetTaulukko2[[#This Row],[Toimiala C]]="K",KysymyksetTaulukko2[[#This Row],[Toimiala D]]="K"),"Kuuluu","Ei kuulu")</f>
        <v>Ei kuulu</v>
      </c>
      <c r="I36" s="3" t="str">
        <f>IF(OR(KysymyksetTaulukko2[[#This Row],[Luokka]]="Ei kuulu",KysymyksetTaulukko2[[#This Row],[Toimiala-
kysymys]]="Ei kuulu"), "Ei kuulu", "Kuuluu")</f>
        <v>Ei kuulu</v>
      </c>
      <c r="J36" s="3" t="str">
        <f>IF(KysymyksetTaulukko2[[#This Row],[Luokka + toimiala]]="Kuuluu","a) Oman vesilaitoksen kysymykset","b) Muut kysymykset")</f>
        <v>b) Muut kysymykset</v>
      </c>
      <c r="K36" s="9" t="s">
        <v>80</v>
      </c>
      <c r="L36" s="9" t="s">
        <v>101</v>
      </c>
      <c r="M36" s="61" t="str">
        <f>LEFT(KysymyksetTaulukko2[[#This Row],[Alakategoria_]],2)</f>
        <v>7.</v>
      </c>
      <c r="N36" s="107"/>
      <c r="O36" s="70" t="s">
        <v>222</v>
      </c>
      <c r="P36" s="67" t="str">
        <f>IF(AND(KysymyksetTaulukko2[[#This Row],[Luokka]]="Extra",KysymyksetTaulukko2[[#This Row],[Luokka + toimiala]]="Kuuluu"),"Extra","")</f>
        <v/>
      </c>
      <c r="Q36" s="114"/>
      <c r="R36" s="64" t="s">
        <v>112</v>
      </c>
      <c r="S36" s="159"/>
      <c r="T36" s="123">
        <f>IF(AND(KysymyksetTaulukko2[[#This Row],[Luokka + toimiala]]="Kuuluu",KysymyksetTaulukko2[[#This Row],[Vastaus]]="Kyllä"),1,0)</f>
        <v>0</v>
      </c>
      <c r="U36" s="121">
        <f>IF(AND(KysymyksetTaulukko2[[#This Row],[Maksimipisteet]]=1,NOT(ISBLANK(KysymyksetTaulukko2[[#This Row],[Vastaus]]))),1,0)</f>
        <v>0</v>
      </c>
      <c r="V36" s="123">
        <f>IF(OR(KysymyksetTaulukko2[[#This Row],[Luokka + toimiala]]="Ei kuulu",KysymyksetTaulukko2[[#This Row],[Vastaus]]="Ei koske",KysymyksetTaulukko2[[#This Row],[Luokka]]="Extra",KysymyksetTaulukko2[[#This Row],[Otsikkorivi]]="Kyllä"),0,1)</f>
        <v>0</v>
      </c>
    </row>
    <row r="37" spans="1:22" ht="30" x14ac:dyDescent="0.25">
      <c r="A37" s="3">
        <v>5</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28</v>
      </c>
      <c r="D37" s="3" t="str">
        <f>IF(ISNUMBER(SEARCH(LV!$I$5, Kustannustehokas_ja_organisoitu!C37)), "K", "E")</f>
        <v>E</v>
      </c>
      <c r="E37" s="3" t="str">
        <f>IF(ISNUMBER(SEARCH(LV!$I$6, Kustannustehokas_ja_organisoitu!$C37)), "K", "E")</f>
        <v>E</v>
      </c>
      <c r="F37" s="3" t="str">
        <f>IF(ISNUMBER(SEARCH(LV!$I$7, Kustannustehokas_ja_organisoitu!$C37)), "K", "E")</f>
        <v>E</v>
      </c>
      <c r="G37" s="3" t="str">
        <f>IF(ISNUMBER(SEARCH(LV!$I$8, Kustannustehokas_ja_organisoitu!$C37)), "K", "E")</f>
        <v>E</v>
      </c>
      <c r="H37" s="3" t="str">
        <f>IF(OR(KysymyksetTaulukko2[[#This Row],[Toimiala A]]="K",KysymyksetTaulukko2[[#This Row],[Toimiala B]]="K",KysymyksetTaulukko2[[#This Row],[Toimiala C]]="K",KysymyksetTaulukko2[[#This Row],[Toimiala D]]="K"),"Kuuluu","Ei kuulu")</f>
        <v>Ei kuulu</v>
      </c>
      <c r="I37" s="3" t="str">
        <f>IF(OR(KysymyksetTaulukko2[[#This Row],[Luokka]]="Ei kuulu",KysymyksetTaulukko2[[#This Row],[Toimiala-
kysymys]]="Ei kuulu"), "Ei kuulu", "Kuuluu")</f>
        <v>Ei kuulu</v>
      </c>
      <c r="J37" s="3" t="str">
        <f>IF(KysymyksetTaulukko2[[#This Row],[Luokka + toimiala]]="Kuuluu","a) Oman vesilaitoksen kysymykset","b) Muut kysymykset")</f>
        <v>b) Muut kysymykset</v>
      </c>
      <c r="K37" s="9" t="s">
        <v>80</v>
      </c>
      <c r="L37" s="9" t="s">
        <v>101</v>
      </c>
      <c r="M37" s="61" t="str">
        <f>LEFT(KysymyksetTaulukko2[[#This Row],[Alakategoria_]],2)</f>
        <v>7.</v>
      </c>
      <c r="N37" s="107"/>
      <c r="O37" s="70" t="s">
        <v>222</v>
      </c>
      <c r="P37" s="67" t="str">
        <f>IF(AND(KysymyksetTaulukko2[[#This Row],[Luokka]]="Extra",KysymyksetTaulukko2[[#This Row],[Luokka + toimiala]]="Kuuluu"),"Extra","")</f>
        <v/>
      </c>
      <c r="Q37" s="114"/>
      <c r="R37" s="64" t="s">
        <v>113</v>
      </c>
      <c r="S37" s="159"/>
      <c r="T37" s="123">
        <f>IF(AND(KysymyksetTaulukko2[[#This Row],[Luokka + toimiala]]="Kuuluu",KysymyksetTaulukko2[[#This Row],[Vastaus]]="Kyllä"),1,0)</f>
        <v>0</v>
      </c>
      <c r="U37" s="121">
        <f>IF(AND(KysymyksetTaulukko2[[#This Row],[Maksimipisteet]]=1,NOT(ISBLANK(KysymyksetTaulukko2[[#This Row],[Vastaus]]))),1,0)</f>
        <v>0</v>
      </c>
      <c r="V37" s="123">
        <f>IF(OR(KysymyksetTaulukko2[[#This Row],[Luokka + toimiala]]="Ei kuulu",KysymyksetTaulukko2[[#This Row],[Vastaus]]="Ei koske",KysymyksetTaulukko2[[#This Row],[Luokka]]="Extra",KysymyksetTaulukko2[[#This Row],[Otsikkorivi]]="Kyllä"),0,1)</f>
        <v>0</v>
      </c>
    </row>
    <row r="38" spans="1:22" ht="30" x14ac:dyDescent="0.25">
      <c r="A38" s="3" t="s">
        <v>6</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28</v>
      </c>
      <c r="D38" s="3" t="str">
        <f>IF(ISNUMBER(SEARCH(LV!$I$5, Kustannustehokas_ja_organisoitu!C38)), "K", "E")</f>
        <v>E</v>
      </c>
      <c r="E38" s="3" t="str">
        <f>IF(ISNUMBER(SEARCH(LV!$I$6, Kustannustehokas_ja_organisoitu!$C38)), "K", "E")</f>
        <v>E</v>
      </c>
      <c r="F38" s="3" t="str">
        <f>IF(ISNUMBER(SEARCH(LV!$I$7, Kustannustehokas_ja_organisoitu!$C38)), "K", "E")</f>
        <v>E</v>
      </c>
      <c r="G38" s="3" t="str">
        <f>IF(ISNUMBER(SEARCH(LV!$I$8, Kustannustehokas_ja_organisoitu!$C38)), "K", "E")</f>
        <v>E</v>
      </c>
      <c r="H38" s="3" t="str">
        <f>IF(OR(KysymyksetTaulukko2[[#This Row],[Toimiala A]]="K",KysymyksetTaulukko2[[#This Row],[Toimiala B]]="K",KysymyksetTaulukko2[[#This Row],[Toimiala C]]="K",KysymyksetTaulukko2[[#This Row],[Toimiala D]]="K"),"Kuuluu","Ei kuulu")</f>
        <v>Ei kuulu</v>
      </c>
      <c r="I38" s="3" t="str">
        <f>IF(OR(KysymyksetTaulukko2[[#This Row],[Luokka]]="Ei kuulu",KysymyksetTaulukko2[[#This Row],[Toimiala-
kysymys]]="Ei kuulu"), "Ei kuulu", "Kuuluu")</f>
        <v>Ei kuulu</v>
      </c>
      <c r="J38" s="3" t="str">
        <f>IF(KysymyksetTaulukko2[[#This Row],[Luokka + toimiala]]="Kuuluu","a) Oman vesilaitoksen kysymykset","b) Muut kysymykset")</f>
        <v>b) Muut kysymykset</v>
      </c>
      <c r="K38" s="9" t="s">
        <v>80</v>
      </c>
      <c r="L38" s="9" t="s">
        <v>241</v>
      </c>
      <c r="M38" s="61" t="str">
        <f>LEFT(KysymyksetTaulukko2[[#This Row],[Alakategoria_]],2)</f>
        <v>_O</v>
      </c>
      <c r="N38" s="107"/>
      <c r="O38" s="70"/>
      <c r="P38" s="67" t="str">
        <f>IF(AND(KysymyksetTaulukko2[[#This Row],[Luokka]]="Extra",KysymyksetTaulukko2[[#This Row],[Luokka + toimiala]]="Kuuluu"),"Extra","")</f>
        <v/>
      </c>
      <c r="Q38" s="114" t="s">
        <v>177</v>
      </c>
      <c r="R38" s="128" t="s">
        <v>114</v>
      </c>
      <c r="S38" s="158"/>
      <c r="T38" s="123">
        <f>IF(AND(KysymyksetTaulukko2[[#This Row],[Luokka + toimiala]]="Kuuluu",KysymyksetTaulukko2[[#This Row],[Vastaus]]="Kyllä"),1,0)</f>
        <v>0</v>
      </c>
      <c r="U38" s="121">
        <f>IF(AND(KysymyksetTaulukko2[[#This Row],[Maksimipisteet]]=1,NOT(ISBLANK(KysymyksetTaulukko2[[#This Row],[Vastaus]]))),1,0)</f>
        <v>0</v>
      </c>
      <c r="V38" s="123">
        <f>IF(OR(KysymyksetTaulukko2[[#This Row],[Luokka + toimiala]]="Ei kuulu",KysymyksetTaulukko2[[#This Row],[Vastaus]]="Ei koske",KysymyksetTaulukko2[[#This Row],[Luokka]]="Extra",KysymyksetTaulukko2[[#This Row],[Otsikkorivi]]="Kyllä"),0,1)</f>
        <v>0</v>
      </c>
    </row>
    <row r="39" spans="1:22" ht="30" x14ac:dyDescent="0.25">
      <c r="A39" s="3" t="s">
        <v>12</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28</v>
      </c>
      <c r="D39" s="3" t="str">
        <f>IF(ISNUMBER(SEARCH(LV!$I$5, Kustannustehokas_ja_organisoitu!C39)), "K", "E")</f>
        <v>E</v>
      </c>
      <c r="E39" s="3" t="str">
        <f>IF(ISNUMBER(SEARCH(LV!$I$6, Kustannustehokas_ja_organisoitu!$C39)), "K", "E")</f>
        <v>E</v>
      </c>
      <c r="F39" s="3" t="str">
        <f>IF(ISNUMBER(SEARCH(LV!$I$7, Kustannustehokas_ja_organisoitu!$C39)), "K", "E")</f>
        <v>E</v>
      </c>
      <c r="G39" s="3" t="str">
        <f>IF(ISNUMBER(SEARCH(LV!$I$8, Kustannustehokas_ja_organisoitu!$C39)), "K", "E")</f>
        <v>E</v>
      </c>
      <c r="H39" s="3" t="str">
        <f>IF(OR(KysymyksetTaulukko2[[#This Row],[Toimiala A]]="K",KysymyksetTaulukko2[[#This Row],[Toimiala B]]="K",KysymyksetTaulukko2[[#This Row],[Toimiala C]]="K",KysymyksetTaulukko2[[#This Row],[Toimiala D]]="K"),"Kuuluu","Ei kuulu")</f>
        <v>Ei kuulu</v>
      </c>
      <c r="I39" s="3" t="str">
        <f>IF(OR(KysymyksetTaulukko2[[#This Row],[Luokka]]="Ei kuulu",KysymyksetTaulukko2[[#This Row],[Toimiala-
kysymys]]="Ei kuulu"), "Ei kuulu", "Kuuluu")</f>
        <v>Ei kuulu</v>
      </c>
      <c r="J39" s="3" t="str">
        <f>IF(KysymyksetTaulukko2[[#This Row],[Luokka + toimiala]]="Kuuluu","a) Oman vesilaitoksen kysymykset","b) Muut kysymykset")</f>
        <v>b) Muut kysymykset</v>
      </c>
      <c r="K39" s="9" t="s">
        <v>80</v>
      </c>
      <c r="L39" s="9" t="s">
        <v>114</v>
      </c>
      <c r="M39" s="61" t="str">
        <f>LEFT(KysymyksetTaulukko2[[#This Row],[Alakategoria_]],2)</f>
        <v>8.</v>
      </c>
      <c r="N39" s="107"/>
      <c r="O39" s="70" t="s">
        <v>222</v>
      </c>
      <c r="P39" s="67" t="str">
        <f>IF(AND(KysymyksetTaulukko2[[#This Row],[Luokka]]="Extra",KysymyksetTaulukko2[[#This Row],[Luokka + toimiala]]="Kuuluu"),"Extra","")</f>
        <v/>
      </c>
      <c r="Q39" s="114"/>
      <c r="R39" s="64" t="s">
        <v>115</v>
      </c>
      <c r="S39" s="159"/>
      <c r="T39" s="123">
        <f>IF(AND(KysymyksetTaulukko2[[#This Row],[Luokka + toimiala]]="Kuuluu",KysymyksetTaulukko2[[#This Row],[Vastaus]]="Kyllä"),1,0)</f>
        <v>0</v>
      </c>
      <c r="U39" s="121">
        <f>IF(AND(KysymyksetTaulukko2[[#This Row],[Maksimipisteet]]=1,NOT(ISBLANK(KysymyksetTaulukko2[[#This Row],[Vastaus]]))),1,0)</f>
        <v>0</v>
      </c>
      <c r="V39" s="123">
        <f>IF(OR(KysymyksetTaulukko2[[#This Row],[Luokka + toimiala]]="Ei kuulu",KysymyksetTaulukko2[[#This Row],[Vastaus]]="Ei koske",KysymyksetTaulukko2[[#This Row],[Luokka]]="Extra",KysymyksetTaulukko2[[#This Row],[Otsikkorivi]]="Kyllä"),0,1)</f>
        <v>0</v>
      </c>
    </row>
    <row r="40" spans="1:22" ht="30" x14ac:dyDescent="0.25">
      <c r="A40" s="3" t="s">
        <v>12</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28</v>
      </c>
      <c r="D40" s="3" t="str">
        <f>IF(ISNUMBER(SEARCH(LV!$I$5, Kustannustehokas_ja_organisoitu!C40)), "K", "E")</f>
        <v>E</v>
      </c>
      <c r="E40" s="3" t="str">
        <f>IF(ISNUMBER(SEARCH(LV!$I$6, Kustannustehokas_ja_organisoitu!$C40)), "K", "E")</f>
        <v>E</v>
      </c>
      <c r="F40" s="3" t="str">
        <f>IF(ISNUMBER(SEARCH(LV!$I$7, Kustannustehokas_ja_organisoitu!$C40)), "K", "E")</f>
        <v>E</v>
      </c>
      <c r="G40" s="3" t="str">
        <f>IF(ISNUMBER(SEARCH(LV!$I$8, Kustannustehokas_ja_organisoitu!$C40)), "K", "E")</f>
        <v>E</v>
      </c>
      <c r="H40" s="3" t="str">
        <f>IF(OR(KysymyksetTaulukko2[[#This Row],[Toimiala A]]="K",KysymyksetTaulukko2[[#This Row],[Toimiala B]]="K",KysymyksetTaulukko2[[#This Row],[Toimiala C]]="K",KysymyksetTaulukko2[[#This Row],[Toimiala D]]="K"),"Kuuluu","Ei kuulu")</f>
        <v>Ei kuulu</v>
      </c>
      <c r="I40" s="3" t="str">
        <f>IF(OR(KysymyksetTaulukko2[[#This Row],[Luokka]]="Ei kuulu",KysymyksetTaulukko2[[#This Row],[Toimiala-
kysymys]]="Ei kuulu"), "Ei kuulu", "Kuuluu")</f>
        <v>Ei kuulu</v>
      </c>
      <c r="J40" s="3" t="str">
        <f>IF(KysymyksetTaulukko2[[#This Row],[Luokka + toimiala]]="Kuuluu","a) Oman vesilaitoksen kysymykset","b) Muut kysymykset")</f>
        <v>b) Muut kysymykset</v>
      </c>
      <c r="K40" s="9" t="s">
        <v>80</v>
      </c>
      <c r="L40" s="9" t="s">
        <v>114</v>
      </c>
      <c r="M40" s="61" t="str">
        <f>LEFT(KysymyksetTaulukko2[[#This Row],[Alakategoria_]],2)</f>
        <v>8.</v>
      </c>
      <c r="N40" s="107"/>
      <c r="O40" s="70" t="s">
        <v>222</v>
      </c>
      <c r="P40" s="67" t="str">
        <f>IF(AND(KysymyksetTaulukko2[[#This Row],[Luokka]]="Extra",KysymyksetTaulukko2[[#This Row],[Luokka + toimiala]]="Kuuluu"),"Extra","")</f>
        <v/>
      </c>
      <c r="Q40" s="114"/>
      <c r="R40" s="64" t="s">
        <v>116</v>
      </c>
      <c r="S40" s="159"/>
      <c r="T40" s="123">
        <f>IF(AND(KysymyksetTaulukko2[[#This Row],[Luokka + toimiala]]="Kuuluu",KysymyksetTaulukko2[[#This Row],[Vastaus]]="Kyllä"),1,0)</f>
        <v>0</v>
      </c>
      <c r="U40" s="121">
        <f>IF(AND(KysymyksetTaulukko2[[#This Row],[Maksimipisteet]]=1,NOT(ISBLANK(KysymyksetTaulukko2[[#This Row],[Vastaus]]))),1,0)</f>
        <v>0</v>
      </c>
      <c r="V40" s="123">
        <f>IF(OR(KysymyksetTaulukko2[[#This Row],[Luokka + toimiala]]="Ei kuulu",KysymyksetTaulukko2[[#This Row],[Vastaus]]="Ei koske",KysymyksetTaulukko2[[#This Row],[Luokka]]="Extra",KysymyksetTaulukko2[[#This Row],[Otsikkorivi]]="Kyllä"),0,1)</f>
        <v>0</v>
      </c>
    </row>
    <row r="41" spans="1:22" ht="30" x14ac:dyDescent="0.25">
      <c r="A41" s="3" t="s">
        <v>12</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28</v>
      </c>
      <c r="D41" s="3" t="str">
        <f>IF(ISNUMBER(SEARCH(LV!$I$5, Kustannustehokas_ja_organisoitu!C41)), "K", "E")</f>
        <v>E</v>
      </c>
      <c r="E41" s="3" t="str">
        <f>IF(ISNUMBER(SEARCH(LV!$I$6, Kustannustehokas_ja_organisoitu!$C41)), "K", "E")</f>
        <v>E</v>
      </c>
      <c r="F41" s="3" t="str">
        <f>IF(ISNUMBER(SEARCH(LV!$I$7, Kustannustehokas_ja_organisoitu!$C41)), "K", "E")</f>
        <v>E</v>
      </c>
      <c r="G41" s="3" t="str">
        <f>IF(ISNUMBER(SEARCH(LV!$I$8, Kustannustehokas_ja_organisoitu!$C41)), "K", "E")</f>
        <v>E</v>
      </c>
      <c r="H41" s="3" t="str">
        <f>IF(OR(KysymyksetTaulukko2[[#This Row],[Toimiala A]]="K",KysymyksetTaulukko2[[#This Row],[Toimiala B]]="K",KysymyksetTaulukko2[[#This Row],[Toimiala C]]="K",KysymyksetTaulukko2[[#This Row],[Toimiala D]]="K"),"Kuuluu","Ei kuulu")</f>
        <v>Ei kuulu</v>
      </c>
      <c r="I41" s="3" t="str">
        <f>IF(OR(KysymyksetTaulukko2[[#This Row],[Luokka]]="Ei kuulu",KysymyksetTaulukko2[[#This Row],[Toimiala-
kysymys]]="Ei kuulu"), "Ei kuulu", "Kuuluu")</f>
        <v>Ei kuulu</v>
      </c>
      <c r="J41" s="3" t="str">
        <f>IF(KysymyksetTaulukko2[[#This Row],[Luokka + toimiala]]="Kuuluu","a) Oman vesilaitoksen kysymykset","b) Muut kysymykset")</f>
        <v>b) Muut kysymykset</v>
      </c>
      <c r="K41" s="9" t="s">
        <v>80</v>
      </c>
      <c r="L41" s="9" t="s">
        <v>114</v>
      </c>
      <c r="M41" s="61" t="str">
        <f>LEFT(KysymyksetTaulukko2[[#This Row],[Alakategoria_]],2)</f>
        <v>8.</v>
      </c>
      <c r="N41" s="107"/>
      <c r="O41" s="70" t="s">
        <v>222</v>
      </c>
      <c r="P41" s="67" t="str">
        <f>IF(AND(KysymyksetTaulukko2[[#This Row],[Luokka]]="Extra",KysymyksetTaulukko2[[#This Row],[Luokka + toimiala]]="Kuuluu"),"Extra","")</f>
        <v/>
      </c>
      <c r="Q41" s="114"/>
      <c r="R41" s="64" t="s">
        <v>117</v>
      </c>
      <c r="S41" s="159"/>
      <c r="T41" s="123">
        <f>IF(AND(KysymyksetTaulukko2[[#This Row],[Luokka + toimiala]]="Kuuluu",KysymyksetTaulukko2[[#This Row],[Vastaus]]="Kyllä"),1,0)</f>
        <v>0</v>
      </c>
      <c r="U41" s="121">
        <f>IF(AND(KysymyksetTaulukko2[[#This Row],[Maksimipisteet]]=1,NOT(ISBLANK(KysymyksetTaulukko2[[#This Row],[Vastaus]]))),1,0)</f>
        <v>0</v>
      </c>
      <c r="V41" s="123">
        <f>IF(OR(KysymyksetTaulukko2[[#This Row],[Luokka + toimiala]]="Ei kuulu",KysymyksetTaulukko2[[#This Row],[Vastaus]]="Ei koske",KysymyksetTaulukko2[[#This Row],[Luokka]]="Extra",KysymyksetTaulukko2[[#This Row],[Otsikkorivi]]="Kyllä"),0,1)</f>
        <v>0</v>
      </c>
    </row>
    <row r="42" spans="1:22" ht="30" x14ac:dyDescent="0.25">
      <c r="A42" s="3" t="s">
        <v>19</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28</v>
      </c>
      <c r="D42" s="3" t="str">
        <f>IF(ISNUMBER(SEARCH(LV!$I$5, Kustannustehokas_ja_organisoitu!C42)), "K", "E")</f>
        <v>E</v>
      </c>
      <c r="E42" s="3" t="str">
        <f>IF(ISNUMBER(SEARCH(LV!$I$6, Kustannustehokas_ja_organisoitu!$C42)), "K", "E")</f>
        <v>E</v>
      </c>
      <c r="F42" s="3" t="str">
        <f>IF(ISNUMBER(SEARCH(LV!$I$7, Kustannustehokas_ja_organisoitu!$C42)), "K", "E")</f>
        <v>E</v>
      </c>
      <c r="G42" s="3" t="str">
        <f>IF(ISNUMBER(SEARCH(LV!$I$8, Kustannustehokas_ja_organisoitu!$C42)), "K", "E")</f>
        <v>E</v>
      </c>
      <c r="H42" s="3" t="str">
        <f>IF(OR(KysymyksetTaulukko2[[#This Row],[Toimiala A]]="K",KysymyksetTaulukko2[[#This Row],[Toimiala B]]="K",KysymyksetTaulukko2[[#This Row],[Toimiala C]]="K",KysymyksetTaulukko2[[#This Row],[Toimiala D]]="K"),"Kuuluu","Ei kuulu")</f>
        <v>Ei kuulu</v>
      </c>
      <c r="I42" s="3" t="str">
        <f>IF(OR(KysymyksetTaulukko2[[#This Row],[Luokka]]="Ei kuulu",KysymyksetTaulukko2[[#This Row],[Toimiala-
kysymys]]="Ei kuulu"), "Ei kuulu", "Kuuluu")</f>
        <v>Ei kuulu</v>
      </c>
      <c r="J42" s="3" t="str">
        <f>IF(KysymyksetTaulukko2[[#This Row],[Luokka + toimiala]]="Kuuluu","a) Oman vesilaitoksen kysymykset","b) Muut kysymykset")</f>
        <v>b) Muut kysymykset</v>
      </c>
      <c r="K42" s="9" t="s">
        <v>80</v>
      </c>
      <c r="L42" s="9" t="s">
        <v>114</v>
      </c>
      <c r="M42" s="61" t="str">
        <f>LEFT(KysymyksetTaulukko2[[#This Row],[Alakategoria_]],2)</f>
        <v>8.</v>
      </c>
      <c r="N42" s="107"/>
      <c r="O42" s="70" t="s">
        <v>222</v>
      </c>
      <c r="P42" s="67" t="str">
        <f>IF(AND(KysymyksetTaulukko2[[#This Row],[Luokka]]="Extra",KysymyksetTaulukko2[[#This Row],[Luokka + toimiala]]="Kuuluu"),"Extra","")</f>
        <v/>
      </c>
      <c r="Q42" s="114"/>
      <c r="R42" s="64" t="s">
        <v>118</v>
      </c>
      <c r="S42" s="159"/>
      <c r="T42" s="123">
        <f>IF(AND(KysymyksetTaulukko2[[#This Row],[Luokka + toimiala]]="Kuuluu",KysymyksetTaulukko2[[#This Row],[Vastaus]]="Kyllä"),1,0)</f>
        <v>0</v>
      </c>
      <c r="U42" s="121">
        <f>IF(AND(KysymyksetTaulukko2[[#This Row],[Maksimipisteet]]=1,NOT(ISBLANK(KysymyksetTaulukko2[[#This Row],[Vastaus]]))),1,0)</f>
        <v>0</v>
      </c>
      <c r="V42" s="123">
        <f>IF(OR(KysymyksetTaulukko2[[#This Row],[Luokka + toimiala]]="Ei kuulu",KysymyksetTaulukko2[[#This Row],[Vastaus]]="Ei koske",KysymyksetTaulukko2[[#This Row],[Luokka]]="Extra",KysymyksetTaulukko2[[#This Row],[Otsikkorivi]]="Kyllä"),0,1)</f>
        <v>0</v>
      </c>
    </row>
    <row r="43" spans="1:22" ht="30" x14ac:dyDescent="0.25">
      <c r="A43" s="3" t="s">
        <v>19</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28</v>
      </c>
      <c r="D43" s="3" t="str">
        <f>IF(ISNUMBER(SEARCH(LV!$I$5, Kustannustehokas_ja_organisoitu!C43)), "K", "E")</f>
        <v>E</v>
      </c>
      <c r="E43" s="3" t="str">
        <f>IF(ISNUMBER(SEARCH(LV!$I$6, Kustannustehokas_ja_organisoitu!$C43)), "K", "E")</f>
        <v>E</v>
      </c>
      <c r="F43" s="3" t="str">
        <f>IF(ISNUMBER(SEARCH(LV!$I$7, Kustannustehokas_ja_organisoitu!$C43)), "K", "E")</f>
        <v>E</v>
      </c>
      <c r="G43" s="3" t="str">
        <f>IF(ISNUMBER(SEARCH(LV!$I$8, Kustannustehokas_ja_organisoitu!$C43)), "K", "E")</f>
        <v>E</v>
      </c>
      <c r="H43" s="3" t="str">
        <f>IF(OR(KysymyksetTaulukko2[[#This Row],[Toimiala A]]="K",KysymyksetTaulukko2[[#This Row],[Toimiala B]]="K",KysymyksetTaulukko2[[#This Row],[Toimiala C]]="K",KysymyksetTaulukko2[[#This Row],[Toimiala D]]="K"),"Kuuluu","Ei kuulu")</f>
        <v>Ei kuulu</v>
      </c>
      <c r="I43" s="3" t="str">
        <f>IF(OR(KysymyksetTaulukko2[[#This Row],[Luokka]]="Ei kuulu",KysymyksetTaulukko2[[#This Row],[Toimiala-
kysymys]]="Ei kuulu"), "Ei kuulu", "Kuuluu")</f>
        <v>Ei kuulu</v>
      </c>
      <c r="J43" s="3" t="str">
        <f>IF(KysymyksetTaulukko2[[#This Row],[Luokka + toimiala]]="Kuuluu","a) Oman vesilaitoksen kysymykset","b) Muut kysymykset")</f>
        <v>b) Muut kysymykset</v>
      </c>
      <c r="K43" s="9" t="s">
        <v>80</v>
      </c>
      <c r="L43" s="9" t="s">
        <v>114</v>
      </c>
      <c r="M43" s="61" t="str">
        <f>LEFT(KysymyksetTaulukko2[[#This Row],[Alakategoria_]],2)</f>
        <v>8.</v>
      </c>
      <c r="N43" s="107"/>
      <c r="O43" s="70" t="s">
        <v>222</v>
      </c>
      <c r="P43" s="67" t="str">
        <f>IF(AND(KysymyksetTaulukko2[[#This Row],[Luokka]]="Extra",KysymyksetTaulukko2[[#This Row],[Luokka + toimiala]]="Kuuluu"),"Extra","")</f>
        <v/>
      </c>
      <c r="Q43" s="114"/>
      <c r="R43" s="64" t="s">
        <v>119</v>
      </c>
      <c r="S43" s="159"/>
      <c r="T43" s="123">
        <f>IF(AND(KysymyksetTaulukko2[[#This Row],[Luokka + toimiala]]="Kuuluu",KysymyksetTaulukko2[[#This Row],[Vastaus]]="Kyllä"),1,0)</f>
        <v>0</v>
      </c>
      <c r="U43" s="121">
        <f>IF(AND(KysymyksetTaulukko2[[#This Row],[Maksimipisteet]]=1,NOT(ISBLANK(KysymyksetTaulukko2[[#This Row],[Vastaus]]))),1,0)</f>
        <v>0</v>
      </c>
      <c r="V43" s="123">
        <f>IF(OR(KysymyksetTaulukko2[[#This Row],[Luokka + toimiala]]="Ei kuulu",KysymyksetTaulukko2[[#This Row],[Vastaus]]="Ei koske",KysymyksetTaulukko2[[#This Row],[Luokka]]="Extra",KysymyksetTaulukko2[[#This Row],[Otsikkorivi]]="Kyllä"),0,1)</f>
        <v>0</v>
      </c>
    </row>
    <row r="44" spans="1:22" ht="30" x14ac:dyDescent="0.25">
      <c r="A44" s="3" t="s">
        <v>19</v>
      </c>
      <c r="B44" s="3" t="str">
        <f>IF(ISNUMBER(SEARCH("," &amp; LV!$B$10 &amp; ",", "," &amp; SUBSTITUTE(A44, " ", "")&amp; ",")),
  "Kuuluu",
  IF(AND(LV!$B$10&gt;=2,
      LV!$B$10&lt;=4,
      OR(ISNUMBER(SEARCH("," &amp;(LV!$B$10+1)&amp; ",", "," &amp; SUBSTITUTE(A44, " ", "")&amp; ",")),
        ISNUMBER(SEARCH("," &amp;(LV!$B$10+2)&amp; ",", "," &amp; SUBSTITUTE(A44, " ", "")&amp; ",")),
        ISNUMBER(SEARCH("," &amp;(LV!$B$10+3)&amp; ",", "," &amp; SUBSTITUTE(A44, " ", "")&amp; ",")),
        ISNUMBER(SEARCH("," &amp;(LV!$B$10+4)&amp; ",", "," &amp; SUBSTITUTE(A44, " ", "")&amp; ",")),
        ISNUMBER(SEARCH("," &amp;(LV!$B$10+5)&amp; ",", "," &amp; SUBSTITUTE(A44, " ", "")&amp; ",")))),
    "Extra",
    "Ei kuulu"))</f>
        <v>Ei kuulu</v>
      </c>
      <c r="C44" s="3" t="s">
        <v>28</v>
      </c>
      <c r="D44" s="3" t="str">
        <f>IF(ISNUMBER(SEARCH(LV!$I$5, Kustannustehokas_ja_organisoitu!C44)), "K", "E")</f>
        <v>E</v>
      </c>
      <c r="E44" s="3" t="str">
        <f>IF(ISNUMBER(SEARCH(LV!$I$6, Kustannustehokas_ja_organisoitu!$C44)), "K", "E")</f>
        <v>E</v>
      </c>
      <c r="F44" s="3" t="str">
        <f>IF(ISNUMBER(SEARCH(LV!$I$7, Kustannustehokas_ja_organisoitu!$C44)), "K", "E")</f>
        <v>E</v>
      </c>
      <c r="G44" s="3" t="str">
        <f>IF(ISNUMBER(SEARCH(LV!$I$8, Kustannustehokas_ja_organisoitu!$C44)), "K", "E")</f>
        <v>E</v>
      </c>
      <c r="H44" s="3" t="str">
        <f>IF(OR(KysymyksetTaulukko2[[#This Row],[Toimiala A]]="K",KysymyksetTaulukko2[[#This Row],[Toimiala B]]="K",KysymyksetTaulukko2[[#This Row],[Toimiala C]]="K",KysymyksetTaulukko2[[#This Row],[Toimiala D]]="K"),"Kuuluu","Ei kuulu")</f>
        <v>Ei kuulu</v>
      </c>
      <c r="I44" s="3" t="str">
        <f>IF(OR(KysymyksetTaulukko2[[#This Row],[Luokka]]="Ei kuulu",KysymyksetTaulukko2[[#This Row],[Toimiala-
kysymys]]="Ei kuulu"), "Ei kuulu", "Kuuluu")</f>
        <v>Ei kuulu</v>
      </c>
      <c r="J44" s="3" t="str">
        <f>IF(KysymyksetTaulukko2[[#This Row],[Luokka + toimiala]]="Kuuluu","a) Oman vesilaitoksen kysymykset","b) Muut kysymykset")</f>
        <v>b) Muut kysymykset</v>
      </c>
      <c r="K44" s="9" t="s">
        <v>80</v>
      </c>
      <c r="L44" s="9" t="s">
        <v>114</v>
      </c>
      <c r="M44" s="61" t="str">
        <f>LEFT(KysymyksetTaulukko2[[#This Row],[Alakategoria_]],2)</f>
        <v>8.</v>
      </c>
      <c r="N44" s="107"/>
      <c r="O44" s="70" t="s">
        <v>222</v>
      </c>
      <c r="P44" s="67" t="str">
        <f>IF(AND(KysymyksetTaulukko2[[#This Row],[Luokka]]="Extra",KysymyksetTaulukko2[[#This Row],[Luokka + toimiala]]="Kuuluu"),"Extra","")</f>
        <v/>
      </c>
      <c r="Q44" s="114"/>
      <c r="R44" s="64" t="s">
        <v>120</v>
      </c>
      <c r="S44" s="159"/>
      <c r="T44" s="123">
        <f>IF(AND(KysymyksetTaulukko2[[#This Row],[Luokka + toimiala]]="Kuuluu",KysymyksetTaulukko2[[#This Row],[Vastaus]]="Kyllä"),1,0)</f>
        <v>0</v>
      </c>
      <c r="U44" s="121">
        <f>IF(AND(KysymyksetTaulukko2[[#This Row],[Maksimipisteet]]=1,NOT(ISBLANK(KysymyksetTaulukko2[[#This Row],[Vastaus]]))),1,0)</f>
        <v>0</v>
      </c>
      <c r="V44" s="123">
        <f>IF(OR(KysymyksetTaulukko2[[#This Row],[Luokka + toimiala]]="Ei kuulu",KysymyksetTaulukko2[[#This Row],[Vastaus]]="Ei koske",KysymyksetTaulukko2[[#This Row],[Luokka]]="Extra",KysymyksetTaulukko2[[#This Row],[Otsikkorivi]]="Kyllä"),0,1)</f>
        <v>0</v>
      </c>
    </row>
    <row r="45" spans="1:22" ht="45" x14ac:dyDescent="0.25">
      <c r="A45" s="3">
        <v>3.4</v>
      </c>
      <c r="B45" s="3" t="str">
        <f>IF(ISNUMBER(SEARCH("," &amp; LV!$B$10 &amp; ",", "," &amp; SUBSTITUTE(A45, " ", "")&amp; ",")),
  "Kuuluu",
  IF(AND(LV!$B$10&gt;=2,
      LV!$B$10&lt;=4,
      OR(ISNUMBER(SEARCH("," &amp;(LV!$B$10+1)&amp; ",", "," &amp; SUBSTITUTE(A45, " ", "")&amp; ",")),
        ISNUMBER(SEARCH("," &amp;(LV!$B$10+2)&amp; ",", "," &amp; SUBSTITUTE(A45, " ", "")&amp; ",")),
        ISNUMBER(SEARCH("," &amp;(LV!$B$10+3)&amp; ",", "," &amp; SUBSTITUTE(A45, " ", "")&amp; ",")),
        ISNUMBER(SEARCH("," &amp;(LV!$B$10+4)&amp; ",", "," &amp; SUBSTITUTE(A45, " ", "")&amp; ",")),
        ISNUMBER(SEARCH("," &amp;(LV!$B$10+5)&amp; ",", "," &amp; SUBSTITUTE(A45, " ", "")&amp; ",")))),
    "Extra",
    "Ei kuulu"))</f>
        <v>Ei kuulu</v>
      </c>
      <c r="C45" s="3" t="s">
        <v>28</v>
      </c>
      <c r="D45" s="3" t="str">
        <f>IF(ISNUMBER(SEARCH(LV!$I$5, Kustannustehokas_ja_organisoitu!C45)), "K", "E")</f>
        <v>E</v>
      </c>
      <c r="E45" s="3" t="str">
        <f>IF(ISNUMBER(SEARCH(LV!$I$6, Kustannustehokas_ja_organisoitu!$C45)), "K", "E")</f>
        <v>E</v>
      </c>
      <c r="F45" s="3" t="str">
        <f>IF(ISNUMBER(SEARCH(LV!$I$7, Kustannustehokas_ja_organisoitu!$C45)), "K", "E")</f>
        <v>E</v>
      </c>
      <c r="G45" s="3" t="str">
        <f>IF(ISNUMBER(SEARCH(LV!$I$8, Kustannustehokas_ja_organisoitu!$C45)), "K", "E")</f>
        <v>E</v>
      </c>
      <c r="H45" s="3" t="str">
        <f>IF(OR(KysymyksetTaulukko2[[#This Row],[Toimiala A]]="K",KysymyksetTaulukko2[[#This Row],[Toimiala B]]="K",KysymyksetTaulukko2[[#This Row],[Toimiala C]]="K",KysymyksetTaulukko2[[#This Row],[Toimiala D]]="K"),"Kuuluu","Ei kuulu")</f>
        <v>Ei kuulu</v>
      </c>
      <c r="I45" s="3" t="str">
        <f>IF(OR(KysymyksetTaulukko2[[#This Row],[Luokka]]="Ei kuulu",KysymyksetTaulukko2[[#This Row],[Toimiala-
kysymys]]="Ei kuulu"), "Ei kuulu", "Kuuluu")</f>
        <v>Ei kuulu</v>
      </c>
      <c r="J45" s="3" t="str">
        <f>IF(KysymyksetTaulukko2[[#This Row],[Luokka + toimiala]]="Kuuluu","a) Oman vesilaitoksen kysymykset","b) Muut kysymykset")</f>
        <v>b) Muut kysymykset</v>
      </c>
      <c r="K45" s="9" t="s">
        <v>80</v>
      </c>
      <c r="L45" s="9" t="s">
        <v>114</v>
      </c>
      <c r="M45" s="61" t="str">
        <f>LEFT(KysymyksetTaulukko2[[#This Row],[Alakategoria_]],2)</f>
        <v>8.</v>
      </c>
      <c r="N45" s="107"/>
      <c r="O45" s="70" t="s">
        <v>222</v>
      </c>
      <c r="P45" s="67" t="str">
        <f>IF(AND(KysymyksetTaulukko2[[#This Row],[Luokka]]="Extra",KysymyksetTaulukko2[[#This Row],[Luokka + toimiala]]="Kuuluu"),"Extra","")</f>
        <v/>
      </c>
      <c r="Q45" s="114"/>
      <c r="R45" s="64" t="s">
        <v>121</v>
      </c>
      <c r="S45" s="159"/>
      <c r="T45" s="123">
        <f>IF(AND(KysymyksetTaulukko2[[#This Row],[Luokka + toimiala]]="Kuuluu",KysymyksetTaulukko2[[#This Row],[Vastaus]]="Kyllä"),1,0)</f>
        <v>0</v>
      </c>
      <c r="U45" s="121">
        <f>IF(AND(KysymyksetTaulukko2[[#This Row],[Maksimipisteet]]=1,NOT(ISBLANK(KysymyksetTaulukko2[[#This Row],[Vastaus]]))),1,0)</f>
        <v>0</v>
      </c>
      <c r="V45" s="123">
        <f>IF(OR(KysymyksetTaulukko2[[#This Row],[Luokka + toimiala]]="Ei kuulu",KysymyksetTaulukko2[[#This Row],[Vastaus]]="Ei koske",KysymyksetTaulukko2[[#This Row],[Luokka]]="Extra",KysymyksetTaulukko2[[#This Row],[Otsikkorivi]]="Kyllä"),0,1)</f>
        <v>0</v>
      </c>
    </row>
    <row r="46" spans="1:22" ht="30" x14ac:dyDescent="0.25">
      <c r="A46" s="3">
        <v>5</v>
      </c>
      <c r="B46" s="3" t="str">
        <f>IF(ISNUMBER(SEARCH("," &amp; LV!$B$10 &amp; ",", "," &amp; SUBSTITUTE(A46, " ", "")&amp; ",")),
  "Kuuluu",
  IF(AND(LV!$B$10&gt;=2,
      LV!$B$10&lt;=4,
      OR(ISNUMBER(SEARCH("," &amp;(LV!$B$10+1)&amp; ",", "," &amp; SUBSTITUTE(A46, " ", "")&amp; ",")),
        ISNUMBER(SEARCH("," &amp;(LV!$B$10+2)&amp; ",", "," &amp; SUBSTITUTE(A46, " ", "")&amp; ",")),
        ISNUMBER(SEARCH("," &amp;(LV!$B$10+3)&amp; ",", "," &amp; SUBSTITUTE(A46, " ", "")&amp; ",")),
        ISNUMBER(SEARCH("," &amp;(LV!$B$10+4)&amp; ",", "," &amp; SUBSTITUTE(A46, " ", "")&amp; ",")),
        ISNUMBER(SEARCH("," &amp;(LV!$B$10+5)&amp; ",", "," &amp; SUBSTITUTE(A46, " ", "")&amp; ",")))),
    "Extra",
    "Ei kuulu"))</f>
        <v>Ei kuulu</v>
      </c>
      <c r="C46" s="3" t="s">
        <v>28</v>
      </c>
      <c r="D46" s="3" t="str">
        <f>IF(ISNUMBER(SEARCH(LV!$I$5, Kustannustehokas_ja_organisoitu!C46)), "K", "E")</f>
        <v>E</v>
      </c>
      <c r="E46" s="3" t="str">
        <f>IF(ISNUMBER(SEARCH(LV!$I$6, Kustannustehokas_ja_organisoitu!$C46)), "K", "E")</f>
        <v>E</v>
      </c>
      <c r="F46" s="3" t="str">
        <f>IF(ISNUMBER(SEARCH(LV!$I$7, Kustannustehokas_ja_organisoitu!$C46)), "K", "E")</f>
        <v>E</v>
      </c>
      <c r="G46" s="3" t="str">
        <f>IF(ISNUMBER(SEARCH(LV!$I$8, Kustannustehokas_ja_organisoitu!$C46)), "K", "E")</f>
        <v>E</v>
      </c>
      <c r="H46" s="3" t="str">
        <f>IF(OR(KysymyksetTaulukko2[[#This Row],[Toimiala A]]="K",KysymyksetTaulukko2[[#This Row],[Toimiala B]]="K",KysymyksetTaulukko2[[#This Row],[Toimiala C]]="K",KysymyksetTaulukko2[[#This Row],[Toimiala D]]="K"),"Kuuluu","Ei kuulu")</f>
        <v>Ei kuulu</v>
      </c>
      <c r="I46" s="3" t="str">
        <f>IF(OR(KysymyksetTaulukko2[[#This Row],[Luokka]]="Ei kuulu",KysymyksetTaulukko2[[#This Row],[Toimiala-
kysymys]]="Ei kuulu"), "Ei kuulu", "Kuuluu")</f>
        <v>Ei kuulu</v>
      </c>
      <c r="J46" s="3" t="str">
        <f>IF(KysymyksetTaulukko2[[#This Row],[Luokka + toimiala]]="Kuuluu","a) Oman vesilaitoksen kysymykset","b) Muut kysymykset")</f>
        <v>b) Muut kysymykset</v>
      </c>
      <c r="K46" s="9" t="s">
        <v>80</v>
      </c>
      <c r="L46" s="9" t="s">
        <v>114</v>
      </c>
      <c r="M46" s="61" t="str">
        <f>LEFT(KysymyksetTaulukko2[[#This Row],[Alakategoria_]],2)</f>
        <v>8.</v>
      </c>
      <c r="N46" s="107"/>
      <c r="O46" s="70" t="s">
        <v>222</v>
      </c>
      <c r="P46" s="67" t="str">
        <f>IF(AND(KysymyksetTaulukko2[[#This Row],[Luokka]]="Extra",KysymyksetTaulukko2[[#This Row],[Luokka + toimiala]]="Kuuluu"),"Extra","")</f>
        <v/>
      </c>
      <c r="Q46" s="114"/>
      <c r="R46" s="64" t="s">
        <v>122</v>
      </c>
      <c r="S46" s="159"/>
      <c r="T46" s="123">
        <f>IF(AND(KysymyksetTaulukko2[[#This Row],[Luokka + toimiala]]="Kuuluu",KysymyksetTaulukko2[[#This Row],[Vastaus]]="Kyllä"),1,0)</f>
        <v>0</v>
      </c>
      <c r="U46" s="121">
        <f>IF(AND(KysymyksetTaulukko2[[#This Row],[Maksimipisteet]]=1,NOT(ISBLANK(KysymyksetTaulukko2[[#This Row],[Vastaus]]))),1,0)</f>
        <v>0</v>
      </c>
      <c r="V46" s="123">
        <f>IF(OR(KysymyksetTaulukko2[[#This Row],[Luokka + toimiala]]="Ei kuulu",KysymyksetTaulukko2[[#This Row],[Vastaus]]="Ei koske",KysymyksetTaulukko2[[#This Row],[Luokka]]="Extra",KysymyksetTaulukko2[[#This Row],[Otsikkorivi]]="Kyllä"),0,1)</f>
        <v>0</v>
      </c>
    </row>
    <row r="47" spans="1:22" x14ac:dyDescent="0.25">
      <c r="S47" s="18"/>
      <c r="V47" s="6"/>
    </row>
  </sheetData>
  <conditionalFormatting sqref="R5:R46">
    <cfRule type="expression" dxfId="26" priority="1">
      <formula>I5="Ei kuulu"</formula>
    </cfRule>
    <cfRule type="expression" dxfId="25" priority="2">
      <formula>P5="Extra"</formula>
    </cfRule>
  </conditionalFormatting>
  <conditionalFormatting sqref="S5:S46">
    <cfRule type="expression" dxfId="24" priority="3">
      <formula>AND(P5="Extra",NOT(ISBLANK(S5)))</formula>
    </cfRule>
    <cfRule type="expression" dxfId="23" priority="4">
      <formula>NOT(ISBLANK($S5))</formula>
    </cfRule>
    <cfRule type="expression" dxfId="22" priority="5">
      <formula>I5="Ei kuulu"</formula>
    </cfRule>
  </conditionalFormatting>
  <hyperlinks>
    <hyperlink ref="S1" location="Ohje!A1" tooltip="Klikkaa tästä niin pääset lukemaan ohjeita toiselta välilehdeltä." display="Ohje" xr:uid="{A77DB753-0A62-4AB2-A6BA-051E8925F92E}"/>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B579EF6A-EF53-4792-814B-185212A34997}">
          <x14:formula1>
            <xm:f>LV!$B$30:$B$32</xm:f>
          </x14:formula1>
          <xm:sqref>S6:S11 S13:S24 S26:S37 S39:S46</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66B9-8E74-406D-9EF5-FCE2E4F62FC2}">
  <sheetPr>
    <tabColor rgb="FFD0EF67"/>
  </sheetPr>
  <dimension ref="A1:AH46"/>
  <sheetViews>
    <sheetView showGridLines="0" topLeftCell="O1" workbookViewId="0">
      <pane ySplit="4" topLeftCell="A5" activePane="bottomLeft" state="frozen"/>
      <selection activeCell="B1" sqref="B1"/>
      <selection pane="bottomLeft" activeCell="S6" sqref="S6"/>
    </sheetView>
  </sheetViews>
  <sheetFormatPr defaultColWidth="8.85546875" defaultRowHeight="15" x14ac:dyDescent="0.25"/>
  <cols>
    <col min="1" max="1" width="8.140625" style="6" hidden="1" customWidth="1"/>
    <col min="2" max="2" width="11.42578125" style="6" hidden="1" customWidth="1"/>
    <col min="3" max="3" width="11.85546875" style="6" hidden="1" customWidth="1"/>
    <col min="4" max="7" width="7.5703125" style="6" hidden="1" customWidth="1"/>
    <col min="8" max="10" width="9.42578125" style="6" hidden="1" customWidth="1"/>
    <col min="11" max="11" width="28" style="9" hidden="1" customWidth="1"/>
    <col min="12" max="12" width="90.5703125" style="9" hidden="1" customWidth="1"/>
    <col min="13" max="13" width="8.85546875" style="12" hidden="1" customWidth="1"/>
    <col min="14" max="14" width="8.85546875" style="17" hidden="1" customWidth="1"/>
    <col min="15" max="15" width="8.85546875" style="17" customWidth="1"/>
    <col min="16" max="16" width="9.42578125" style="16" customWidth="1"/>
    <col min="17" max="17" width="9.42578125" style="16" hidden="1" customWidth="1"/>
    <col min="18" max="18" width="119.5703125" style="2" customWidth="1"/>
    <col min="19" max="19" width="8.85546875" style="16"/>
    <col min="20" max="22" width="8.85546875" style="18" hidden="1" customWidth="1"/>
    <col min="23" max="16384" width="8.85546875" style="6"/>
  </cols>
  <sheetData>
    <row r="1" spans="1:34" x14ac:dyDescent="0.25">
      <c r="O1" s="129"/>
      <c r="P1" s="129"/>
      <c r="Q1" s="129"/>
      <c r="R1" s="129"/>
      <c r="S1" s="160" t="s">
        <v>269</v>
      </c>
      <c r="T1" s="129"/>
      <c r="U1" s="129"/>
      <c r="V1" s="129"/>
      <c r="W1" s="129"/>
      <c r="X1" s="129"/>
      <c r="Y1" s="130"/>
      <c r="Z1" s="130"/>
      <c r="AA1" s="118"/>
      <c r="AB1" s="119"/>
      <c r="AC1" s="119"/>
      <c r="AD1" s="120"/>
      <c r="AE1" s="120"/>
      <c r="AF1" s="131"/>
      <c r="AG1" s="120"/>
      <c r="AH1" s="129"/>
    </row>
    <row r="2" spans="1:34" ht="20.25" x14ac:dyDescent="0.3">
      <c r="A2" s="129"/>
      <c r="B2" s="129"/>
      <c r="C2" s="129"/>
      <c r="D2" s="129"/>
      <c r="E2" s="129"/>
      <c r="F2" s="129"/>
      <c r="G2" s="129"/>
      <c r="H2" s="129"/>
      <c r="I2" s="129"/>
      <c r="J2" s="129"/>
      <c r="K2" s="130"/>
      <c r="L2" s="130"/>
      <c r="M2" s="118"/>
      <c r="N2" s="119"/>
      <c r="O2" s="129"/>
      <c r="P2" s="139" t="s">
        <v>123</v>
      </c>
      <c r="Q2" s="120"/>
      <c r="R2" s="131"/>
      <c r="S2" s="120"/>
      <c r="W2" s="129"/>
      <c r="X2" s="129"/>
      <c r="Y2" s="129"/>
      <c r="Z2" s="129"/>
      <c r="AA2" s="129"/>
      <c r="AB2" s="129"/>
      <c r="AC2" s="129"/>
      <c r="AD2" s="129"/>
      <c r="AE2" s="129"/>
      <c r="AF2" s="129"/>
      <c r="AG2" s="129"/>
      <c r="AH2" s="129"/>
    </row>
    <row r="3" spans="1:34" ht="19.7" customHeight="1" x14ac:dyDescent="0.25">
      <c r="M3" s="118"/>
      <c r="N3" s="119"/>
      <c r="O3" s="119"/>
      <c r="P3" s="120"/>
      <c r="Q3" s="120"/>
      <c r="R3" s="143" t="str">
        <f>'TEKNINEN - TulostenLasku'!$C$53</f>
        <v>Vastattu 0 %:iin vesilaitostanne koskevista pakollisista kysymyksistä.</v>
      </c>
      <c r="S3" s="120"/>
      <c r="W3" s="129"/>
      <c r="X3" s="129"/>
      <c r="Y3" s="129"/>
      <c r="Z3" s="129"/>
      <c r="AA3" s="129"/>
      <c r="AB3" s="129"/>
      <c r="AC3" s="129"/>
      <c r="AD3" s="129"/>
      <c r="AE3" s="129"/>
      <c r="AF3" s="129"/>
      <c r="AG3" s="129"/>
      <c r="AH3" s="129"/>
    </row>
    <row r="4" spans="1:34" ht="46.5" customHeight="1" x14ac:dyDescent="0.25">
      <c r="A4" s="71" t="s">
        <v>176</v>
      </c>
      <c r="B4" s="71" t="s">
        <v>0</v>
      </c>
      <c r="C4" s="71" t="s">
        <v>175</v>
      </c>
      <c r="D4" s="115" t="s">
        <v>252</v>
      </c>
      <c r="E4" s="115" t="s">
        <v>253</v>
      </c>
      <c r="F4" s="115" t="s">
        <v>254</v>
      </c>
      <c r="G4" s="115" t="s">
        <v>255</v>
      </c>
      <c r="H4" s="71" t="s">
        <v>223</v>
      </c>
      <c r="I4" s="71" t="s">
        <v>183</v>
      </c>
      <c r="J4" s="71" t="s">
        <v>259</v>
      </c>
      <c r="K4" s="115" t="s">
        <v>1</v>
      </c>
      <c r="L4" s="115" t="s">
        <v>228</v>
      </c>
      <c r="M4" s="72" t="s">
        <v>226</v>
      </c>
      <c r="N4" s="72" t="s">
        <v>205</v>
      </c>
      <c r="O4" s="134" t="s">
        <v>225</v>
      </c>
      <c r="P4" s="134" t="s">
        <v>224</v>
      </c>
      <c r="Q4" s="135" t="s">
        <v>227</v>
      </c>
      <c r="R4" s="132" t="s">
        <v>199</v>
      </c>
      <c r="S4" s="133" t="s">
        <v>174</v>
      </c>
      <c r="T4" s="116" t="s">
        <v>185</v>
      </c>
      <c r="U4" s="116" t="s">
        <v>250</v>
      </c>
      <c r="V4" s="116" t="s">
        <v>184</v>
      </c>
      <c r="W4" s="129"/>
      <c r="X4" s="129"/>
      <c r="Y4" s="129"/>
      <c r="Z4" s="129"/>
      <c r="AA4" s="140"/>
      <c r="AB4" s="141"/>
      <c r="AC4" s="129"/>
      <c r="AD4" s="142"/>
      <c r="AE4" s="129"/>
      <c r="AF4" s="129"/>
      <c r="AG4" s="129"/>
      <c r="AH4" s="129"/>
    </row>
    <row r="5" spans="1:34" ht="28.5" x14ac:dyDescent="0.25">
      <c r="A5" s="3" t="s">
        <v>6</v>
      </c>
      <c r="B5" s="3" t="str">
        <f>IF(ISNUMBER(SEARCH("," &amp; LV!$B$10 &amp; ",", "," &amp; SUBSTITUTE(A5, " ", "")&amp; ",")),
  "Kuuluu",
  IF(AND(LV!$B$10&gt;=2,
      LV!$B$10&lt;=4,
      OR(ISNUMBER(SEARCH("," &amp;(LV!$B$10+1)&amp; ",", "," &amp; SUBSTITUTE(A5, " ", "")&amp; ",")),
        ISNUMBER(SEARCH("," &amp;(LV!$B$10+2)&amp; ",", "," &amp; SUBSTITUTE(A5, " ", "")&amp; ",")),
        ISNUMBER(SEARCH("," &amp;(LV!$B$10+3)&amp; ",", "," &amp; SUBSTITUTE(A5, " ", "")&amp; ",")),
        ISNUMBER(SEARCH("," &amp;(LV!$B$10+4)&amp; ",", "," &amp; SUBSTITUTE(A5, " ", "")&amp; ",")),
        ISNUMBER(SEARCH("," &amp;(LV!$B$10+5)&amp; ",", "," &amp; SUBSTITUTE(A5, " ", "")&amp; ",")))),
    "Extra",
    "Ei kuulu"))</f>
        <v>Ei kuulu</v>
      </c>
      <c r="C5" s="3" t="s">
        <v>28</v>
      </c>
      <c r="D5" s="3" t="str">
        <f>IF(ISNUMBER(SEARCH(LV!$I$5, Kestävä_ja_kehittyvä!C5)), "K", "E")</f>
        <v>E</v>
      </c>
      <c r="E5" s="3" t="str">
        <f>IF(ISNUMBER(SEARCH(LV!$I$6, Kestävä_ja_kehittyvä!$C5)), "K", "E")</f>
        <v>E</v>
      </c>
      <c r="F5" s="3" t="str">
        <f>IF(ISNUMBER(SEARCH(LV!$I$7, Kestävä_ja_kehittyvä!$C5)), "K", "E")</f>
        <v>E</v>
      </c>
      <c r="G5" s="3" t="str">
        <f>IF(ISNUMBER(SEARCH(LV!$I$8, Kestävä_ja_kehittyvä!$C5)), "K", "E")</f>
        <v>E</v>
      </c>
      <c r="H5" s="3" t="str">
        <f>IF(OR(KysymyksetTaulukko3[[#This Row],[Toimiala A]]="K",KysymyksetTaulukko3[[#This Row],[Toimiala B]]="K",KysymyksetTaulukko3[[#This Row],[Toimiala C]]="K",KysymyksetTaulukko3[[#This Row],[Toimiala D]]="K"),"Kuuluu","Ei kuulu")</f>
        <v>Ei kuulu</v>
      </c>
      <c r="I5" s="3" t="str">
        <f>IF(OR(KysymyksetTaulukko3[[#This Row],[Luokka]]="Ei kuulu",KysymyksetTaulukko3[[#This Row],[Toimiala-
kysymys]]="Ei kuulu"), "Ei kuulu", "Kuuluu")</f>
        <v>Ei kuulu</v>
      </c>
      <c r="J5" s="3" t="str">
        <f>IF(KysymyksetTaulukko3[[#This Row],[Luokka + toimiala]]="Kuuluu","a) Oman vesilaitoksen kysymykset","b) Muut kysymykset")</f>
        <v>b) Muut kysymykset</v>
      </c>
      <c r="K5" s="9" t="s">
        <v>123</v>
      </c>
      <c r="L5" s="9" t="s">
        <v>241</v>
      </c>
      <c r="M5" s="61" t="str">
        <f>LEFT(KysymyksetTaulukko3[[#This Row],[Alakategoria_]],2)</f>
        <v>_O</v>
      </c>
      <c r="N5" s="107"/>
      <c r="O5" s="70"/>
      <c r="P5" s="67" t="str">
        <f>IF(AND(KysymyksetTaulukko3[[#This Row],[Luokka]]="Extra",KysymyksetTaulukko3[[#This Row],[Luokka + toimiala]]="Kuuluu"),"Extra","")</f>
        <v/>
      </c>
      <c r="Q5" s="114" t="s">
        <v>177</v>
      </c>
      <c r="R5" s="128" t="s">
        <v>124</v>
      </c>
      <c r="S5" s="158"/>
      <c r="T5" s="123">
        <f>IF(AND(KysymyksetTaulukko3[[#This Row],[Luokka + toimiala]]="Kuuluu",KysymyksetTaulukko3[[#This Row],[Vastaus]]="Kyllä"),1,0)</f>
        <v>0</v>
      </c>
      <c r="U5" s="121">
        <f>IF(AND(KysymyksetTaulukko3[[#This Row],[Maksimipisteet]]=1,NOT(ISBLANK(KysymyksetTaulukko3[[#This Row],[Vastaus]]))),1,0)</f>
        <v>0</v>
      </c>
      <c r="V5" s="123">
        <f>IF(OR(KysymyksetTaulukko3[[#This Row],[Luokka + toimiala]]="Ei kuulu",KysymyksetTaulukko3[[#This Row],[Vastaus]]="Ei koske",KysymyksetTaulukko3[[#This Row],[Luokka]]="Extra",KysymyksetTaulukko3[[#This Row],[Otsikkorivi]]="Kyllä"),0,1)</f>
        <v>0</v>
      </c>
    </row>
    <row r="6" spans="1:34" ht="28.5" x14ac:dyDescent="0.25">
      <c r="A6" s="3" t="s">
        <v>12</v>
      </c>
      <c r="B6" s="3" t="str">
        <f>IF(ISNUMBER(SEARCH("," &amp; LV!$B$10 &amp; ",", "," &amp; SUBSTITUTE(A6, " ", "")&amp; ",")),
  "Kuuluu",
  IF(AND(LV!$B$10&gt;=2,
      LV!$B$10&lt;=4,
      OR(ISNUMBER(SEARCH("," &amp;(LV!$B$10+1)&amp; ",", "," &amp; SUBSTITUTE(A6, " ", "")&amp; ",")),
        ISNUMBER(SEARCH("," &amp;(LV!$B$10+2)&amp; ",", "," &amp; SUBSTITUTE(A6, " ", "")&amp; ",")),
        ISNUMBER(SEARCH("," &amp;(LV!$B$10+3)&amp; ",", "," &amp; SUBSTITUTE(A6, " ", "")&amp; ",")),
        ISNUMBER(SEARCH("," &amp;(LV!$B$10+4)&amp; ",", "," &amp; SUBSTITUTE(A6, " ", "")&amp; ",")),
        ISNUMBER(SEARCH("," &amp;(LV!$B$10+5)&amp; ",", "," &amp; SUBSTITUTE(A6, " ", "")&amp; ",")))),
    "Extra",
    "Ei kuulu"))</f>
        <v>Ei kuulu</v>
      </c>
      <c r="C6" s="3" t="s">
        <v>126</v>
      </c>
      <c r="D6" s="3" t="str">
        <f>IF(ISNUMBER(SEARCH(LV!$I$5, Kestävä_ja_kehittyvä!C6)), "K", "E")</f>
        <v>E</v>
      </c>
      <c r="E6" s="3" t="str">
        <f>IF(ISNUMBER(SEARCH(LV!$I$6, Kestävä_ja_kehittyvä!$C6)), "K", "E")</f>
        <v>E</v>
      </c>
      <c r="F6" s="3" t="str">
        <f>IF(ISNUMBER(SEARCH(LV!$I$7, Kestävä_ja_kehittyvä!$C6)), "K", "E")</f>
        <v>E</v>
      </c>
      <c r="G6" s="3" t="str">
        <f>IF(ISNUMBER(SEARCH(LV!$I$8, Kestävä_ja_kehittyvä!$C6)), "K", "E")</f>
        <v>E</v>
      </c>
      <c r="H6" s="3" t="str">
        <f>IF(OR(KysymyksetTaulukko3[[#This Row],[Toimiala A]]="K",KysymyksetTaulukko3[[#This Row],[Toimiala B]]="K",KysymyksetTaulukko3[[#This Row],[Toimiala C]]="K",KysymyksetTaulukko3[[#This Row],[Toimiala D]]="K"),"Kuuluu","Ei kuulu")</f>
        <v>Ei kuulu</v>
      </c>
      <c r="I6" s="3" t="str">
        <f>IF(OR(KysymyksetTaulukko3[[#This Row],[Luokka]]="Ei kuulu",KysymyksetTaulukko3[[#This Row],[Toimiala-
kysymys]]="Ei kuulu"), "Ei kuulu", "Kuuluu")</f>
        <v>Ei kuulu</v>
      </c>
      <c r="J6" s="3" t="str">
        <f>IF(KysymyksetTaulukko3[[#This Row],[Luokka + toimiala]]="Kuuluu","a) Oman vesilaitoksen kysymykset","b) Muut kysymykset")</f>
        <v>b) Muut kysymykset</v>
      </c>
      <c r="K6" s="9" t="s">
        <v>123</v>
      </c>
      <c r="L6" s="9" t="s">
        <v>124</v>
      </c>
      <c r="M6" s="61" t="str">
        <f>LEFT(KysymyksetTaulukko3[[#This Row],[Alakategoria_]],2)</f>
        <v>9.</v>
      </c>
      <c r="N6" s="107" t="s">
        <v>11</v>
      </c>
      <c r="O6" s="70" t="s">
        <v>206</v>
      </c>
      <c r="P6" s="67" t="str">
        <f>IF(AND(KysymyksetTaulukko3[[#This Row],[Luokka]]="Extra",KysymyksetTaulukko3[[#This Row],[Luokka + toimiala]]="Kuuluu"),"Extra","")</f>
        <v/>
      </c>
      <c r="Q6" s="114"/>
      <c r="R6" s="64" t="s">
        <v>125</v>
      </c>
      <c r="S6" s="159"/>
      <c r="T6" s="123">
        <f>IF(AND(KysymyksetTaulukko3[[#This Row],[Luokka + toimiala]]="Kuuluu",KysymyksetTaulukko3[[#This Row],[Vastaus]]="Kyllä"),1,0)</f>
        <v>0</v>
      </c>
      <c r="U6" s="121">
        <f>IF(AND(KysymyksetTaulukko3[[#This Row],[Maksimipisteet]]=1,NOT(ISBLANK(KysymyksetTaulukko3[[#This Row],[Vastaus]]))),1,0)</f>
        <v>0</v>
      </c>
      <c r="V6" s="123">
        <f>IF(OR(KysymyksetTaulukko3[[#This Row],[Luokka + toimiala]]="Ei kuulu",KysymyksetTaulukko3[[#This Row],[Vastaus]]="Ei koske",KysymyksetTaulukko3[[#This Row],[Luokka]]="Extra",KysymyksetTaulukko3[[#This Row],[Otsikkorivi]]="Kyllä"),0,1)</f>
        <v>0</v>
      </c>
    </row>
    <row r="7" spans="1:34" ht="28.5" x14ac:dyDescent="0.25">
      <c r="A7" s="3" t="s">
        <v>12</v>
      </c>
      <c r="B7" s="3" t="str">
        <f>IF(ISNUMBER(SEARCH("," &amp; LV!$B$10 &amp; ",", "," &amp; SUBSTITUTE(A7, " ", "")&amp; ",")),
  "Kuuluu",
  IF(AND(LV!$B$10&gt;=2,
      LV!$B$10&lt;=4,
      OR(ISNUMBER(SEARCH("," &amp;(LV!$B$10+1)&amp; ",", "," &amp; SUBSTITUTE(A7, " ", "")&amp; ",")),
        ISNUMBER(SEARCH("," &amp;(LV!$B$10+2)&amp; ",", "," &amp; SUBSTITUTE(A7, " ", "")&amp; ",")),
        ISNUMBER(SEARCH("," &amp;(LV!$B$10+3)&amp; ",", "," &amp; SUBSTITUTE(A7, " ", "")&amp; ",")),
        ISNUMBER(SEARCH("," &amp;(LV!$B$10+4)&amp; ",", "," &amp; SUBSTITUTE(A7, " ", "")&amp; ",")),
        ISNUMBER(SEARCH("," &amp;(LV!$B$10+5)&amp; ",", "," &amp; SUBSTITUTE(A7, " ", "")&amp; ",")))),
    "Extra",
    "Ei kuulu"))</f>
        <v>Ei kuulu</v>
      </c>
      <c r="C7" s="3" t="s">
        <v>126</v>
      </c>
      <c r="D7" s="3" t="str">
        <f>IF(ISNUMBER(SEARCH(LV!$I$5, Kestävä_ja_kehittyvä!C7)), "K", "E")</f>
        <v>E</v>
      </c>
      <c r="E7" s="3" t="str">
        <f>IF(ISNUMBER(SEARCH(LV!$I$6, Kestävä_ja_kehittyvä!$C7)), "K", "E")</f>
        <v>E</v>
      </c>
      <c r="F7" s="3" t="str">
        <f>IF(ISNUMBER(SEARCH(LV!$I$7, Kestävä_ja_kehittyvä!$C7)), "K", "E")</f>
        <v>E</v>
      </c>
      <c r="G7" s="3" t="str">
        <f>IF(ISNUMBER(SEARCH(LV!$I$8, Kestävä_ja_kehittyvä!$C7)), "K", "E")</f>
        <v>E</v>
      </c>
      <c r="H7" s="3" t="str">
        <f>IF(OR(KysymyksetTaulukko3[[#This Row],[Toimiala A]]="K",KysymyksetTaulukko3[[#This Row],[Toimiala B]]="K",KysymyksetTaulukko3[[#This Row],[Toimiala C]]="K",KysymyksetTaulukko3[[#This Row],[Toimiala D]]="K"),"Kuuluu","Ei kuulu")</f>
        <v>Ei kuulu</v>
      </c>
      <c r="I7" s="3" t="str">
        <f>IF(OR(KysymyksetTaulukko3[[#This Row],[Luokka]]="Ei kuulu",KysymyksetTaulukko3[[#This Row],[Toimiala-
kysymys]]="Ei kuulu"), "Ei kuulu", "Kuuluu")</f>
        <v>Ei kuulu</v>
      </c>
      <c r="J7" s="3" t="str">
        <f>IF(KysymyksetTaulukko3[[#This Row],[Luokka + toimiala]]="Kuuluu","a) Oman vesilaitoksen kysymykset","b) Muut kysymykset")</f>
        <v>b) Muut kysymykset</v>
      </c>
      <c r="K7" s="9" t="s">
        <v>123</v>
      </c>
      <c r="L7" s="9" t="s">
        <v>124</v>
      </c>
      <c r="M7" s="61" t="str">
        <f>LEFT(KysymyksetTaulukko3[[#This Row],[Alakategoria_]],2)</f>
        <v>9.</v>
      </c>
      <c r="N7" s="107" t="s">
        <v>11</v>
      </c>
      <c r="O7" s="70" t="s">
        <v>206</v>
      </c>
      <c r="P7" s="67" t="str">
        <f>IF(AND(KysymyksetTaulukko3[[#This Row],[Luokka]]="Extra",KysymyksetTaulukko3[[#This Row],[Luokka + toimiala]]="Kuuluu"),"Extra","")</f>
        <v/>
      </c>
      <c r="Q7" s="114"/>
      <c r="R7" s="64" t="s">
        <v>127</v>
      </c>
      <c r="S7" s="159"/>
      <c r="T7" s="123">
        <f>IF(AND(KysymyksetTaulukko3[[#This Row],[Luokka + toimiala]]="Kuuluu",KysymyksetTaulukko3[[#This Row],[Vastaus]]="Kyllä"),1,0)</f>
        <v>0</v>
      </c>
      <c r="U7" s="121">
        <f>IF(AND(KysymyksetTaulukko3[[#This Row],[Maksimipisteet]]=1,NOT(ISBLANK(KysymyksetTaulukko3[[#This Row],[Vastaus]]))),1,0)</f>
        <v>0</v>
      </c>
      <c r="V7" s="123">
        <f>IF(OR(KysymyksetTaulukko3[[#This Row],[Luokka + toimiala]]="Ei kuulu",KysymyksetTaulukko3[[#This Row],[Vastaus]]="Ei koske",KysymyksetTaulukko3[[#This Row],[Luokka]]="Extra",KysymyksetTaulukko3[[#This Row],[Otsikkorivi]]="Kyllä"),0,1)</f>
        <v>0</v>
      </c>
    </row>
    <row r="8" spans="1:34" ht="28.5" x14ac:dyDescent="0.25">
      <c r="A8" s="3" t="s">
        <v>12</v>
      </c>
      <c r="B8" s="3" t="str">
        <f>IF(ISNUMBER(SEARCH("," &amp; LV!$B$10 &amp; ",", "," &amp; SUBSTITUTE(A8, " ", "")&amp; ",")),
  "Kuuluu",
  IF(AND(LV!$B$10&gt;=2,
      LV!$B$10&lt;=4,
      OR(ISNUMBER(SEARCH("," &amp;(LV!$B$10+1)&amp; ",", "," &amp; SUBSTITUTE(A8, " ", "")&amp; ",")),
        ISNUMBER(SEARCH("," &amp;(LV!$B$10+2)&amp; ",", "," &amp; SUBSTITUTE(A8, " ", "")&amp; ",")),
        ISNUMBER(SEARCH("," &amp;(LV!$B$10+3)&amp; ",", "," &amp; SUBSTITUTE(A8, " ", "")&amp; ",")),
        ISNUMBER(SEARCH("," &amp;(LV!$B$10+4)&amp; ",", "," &amp; SUBSTITUTE(A8, " ", "")&amp; ",")),
        ISNUMBER(SEARCH("," &amp;(LV!$B$10+5)&amp; ",", "," &amp; SUBSTITUTE(A8, " ", "")&amp; ",")))),
    "Extra",
    "Ei kuulu"))</f>
        <v>Ei kuulu</v>
      </c>
      <c r="C8" s="3" t="s">
        <v>129</v>
      </c>
      <c r="D8" s="3" t="str">
        <f>IF(ISNUMBER(SEARCH(LV!$I$5, Kestävä_ja_kehittyvä!C8)), "K", "E")</f>
        <v>E</v>
      </c>
      <c r="E8" s="3" t="str">
        <f>IF(ISNUMBER(SEARCH(LV!$I$6, Kestävä_ja_kehittyvä!$C8)), "K", "E")</f>
        <v>E</v>
      </c>
      <c r="F8" s="3" t="str">
        <f>IF(ISNUMBER(SEARCH(LV!$I$7, Kestävä_ja_kehittyvä!$C8)), "K", "E")</f>
        <v>E</v>
      </c>
      <c r="G8" s="3" t="str">
        <f>IF(ISNUMBER(SEARCH(LV!$I$8, Kestävä_ja_kehittyvä!$C8)), "K", "E")</f>
        <v>E</v>
      </c>
      <c r="H8" s="3" t="str">
        <f>IF(OR(KysymyksetTaulukko3[[#This Row],[Toimiala A]]="K",KysymyksetTaulukko3[[#This Row],[Toimiala B]]="K",KysymyksetTaulukko3[[#This Row],[Toimiala C]]="K",KysymyksetTaulukko3[[#This Row],[Toimiala D]]="K"),"Kuuluu","Ei kuulu")</f>
        <v>Ei kuulu</v>
      </c>
      <c r="I8" s="3" t="str">
        <f>IF(OR(KysymyksetTaulukko3[[#This Row],[Luokka]]="Ei kuulu",KysymyksetTaulukko3[[#This Row],[Toimiala-
kysymys]]="Ei kuulu"), "Ei kuulu", "Kuuluu")</f>
        <v>Ei kuulu</v>
      </c>
      <c r="J8" s="3" t="str">
        <f>IF(KysymyksetTaulukko3[[#This Row],[Luokka + toimiala]]="Kuuluu","a) Oman vesilaitoksen kysymykset","b) Muut kysymykset")</f>
        <v>b) Muut kysymykset</v>
      </c>
      <c r="K8" s="9" t="s">
        <v>123</v>
      </c>
      <c r="L8" s="9" t="s">
        <v>124</v>
      </c>
      <c r="M8" s="61" t="str">
        <f>LEFT(KysymyksetTaulukko3[[#This Row],[Alakategoria_]],2)</f>
        <v>9.</v>
      </c>
      <c r="N8" s="107" t="s">
        <v>11</v>
      </c>
      <c r="O8" s="70" t="s">
        <v>206</v>
      </c>
      <c r="P8" s="67" t="str">
        <f>IF(AND(KysymyksetTaulukko3[[#This Row],[Luokka]]="Extra",KysymyksetTaulukko3[[#This Row],[Luokka + toimiala]]="Kuuluu"),"Extra","")</f>
        <v/>
      </c>
      <c r="Q8" s="114"/>
      <c r="R8" s="64" t="s">
        <v>128</v>
      </c>
      <c r="S8" s="159"/>
      <c r="T8" s="123">
        <f>IF(AND(KysymyksetTaulukko3[[#This Row],[Luokka + toimiala]]="Kuuluu",KysymyksetTaulukko3[[#This Row],[Vastaus]]="Kyllä"),1,0)</f>
        <v>0</v>
      </c>
      <c r="U8" s="121">
        <f>IF(AND(KysymyksetTaulukko3[[#This Row],[Maksimipisteet]]=1,NOT(ISBLANK(KysymyksetTaulukko3[[#This Row],[Vastaus]]))),1,0)</f>
        <v>0</v>
      </c>
      <c r="V8" s="123">
        <f>IF(OR(KysymyksetTaulukko3[[#This Row],[Luokka + toimiala]]="Ei kuulu",KysymyksetTaulukko3[[#This Row],[Vastaus]]="Ei koske",KysymyksetTaulukko3[[#This Row],[Luokka]]="Extra",KysymyksetTaulukko3[[#This Row],[Otsikkorivi]]="Kyllä"),0,1)</f>
        <v>0</v>
      </c>
    </row>
    <row r="9" spans="1:34" ht="45" x14ac:dyDescent="0.25">
      <c r="A9" s="3" t="s">
        <v>12</v>
      </c>
      <c r="B9" s="3" t="str">
        <f>IF(ISNUMBER(SEARCH("," &amp; LV!$B$10 &amp; ",", "," &amp; SUBSTITUTE(A9, " ", "")&amp; ",")),
  "Kuuluu",
  IF(AND(LV!$B$10&gt;=2,
      LV!$B$10&lt;=4,
      OR(ISNUMBER(SEARCH("," &amp;(LV!$B$10+1)&amp; ",", "," &amp; SUBSTITUTE(A9, " ", "")&amp; ",")),
        ISNUMBER(SEARCH("," &amp;(LV!$B$10+2)&amp; ",", "," &amp; SUBSTITUTE(A9, " ", "")&amp; ",")),
        ISNUMBER(SEARCH("," &amp;(LV!$B$10+3)&amp; ",", "," &amp; SUBSTITUTE(A9, " ", "")&amp; ",")),
        ISNUMBER(SEARCH("," &amp;(LV!$B$10+4)&amp; ",", "," &amp; SUBSTITUTE(A9, " ", "")&amp; ",")),
        ISNUMBER(SEARCH("," &amp;(LV!$B$10+5)&amp; ",", "," &amp; SUBSTITUTE(A9, " ", "")&amp; ",")))),
    "Extra",
    "Ei kuulu"))</f>
        <v>Ei kuulu</v>
      </c>
      <c r="C9" s="3" t="s">
        <v>126</v>
      </c>
      <c r="D9" s="3" t="str">
        <f>IF(ISNUMBER(SEARCH(LV!$I$5, Kestävä_ja_kehittyvä!C9)), "K", "E")</f>
        <v>E</v>
      </c>
      <c r="E9" s="3" t="str">
        <f>IF(ISNUMBER(SEARCH(LV!$I$6, Kestävä_ja_kehittyvä!$C9)), "K", "E")</f>
        <v>E</v>
      </c>
      <c r="F9" s="3" t="str">
        <f>IF(ISNUMBER(SEARCH(LV!$I$7, Kestävä_ja_kehittyvä!$C9)), "K", "E")</f>
        <v>E</v>
      </c>
      <c r="G9" s="3" t="str">
        <f>IF(ISNUMBER(SEARCH(LV!$I$8, Kestävä_ja_kehittyvä!$C9)), "K", "E")</f>
        <v>E</v>
      </c>
      <c r="H9" s="3" t="str">
        <f>IF(OR(KysymyksetTaulukko3[[#This Row],[Toimiala A]]="K",KysymyksetTaulukko3[[#This Row],[Toimiala B]]="K",KysymyksetTaulukko3[[#This Row],[Toimiala C]]="K",KysymyksetTaulukko3[[#This Row],[Toimiala D]]="K"),"Kuuluu","Ei kuulu")</f>
        <v>Ei kuulu</v>
      </c>
      <c r="I9" s="3" t="str">
        <f>IF(OR(KysymyksetTaulukko3[[#This Row],[Luokka]]="Ei kuulu",KysymyksetTaulukko3[[#This Row],[Toimiala-
kysymys]]="Ei kuulu"), "Ei kuulu", "Kuuluu")</f>
        <v>Ei kuulu</v>
      </c>
      <c r="J9" s="3" t="str">
        <f>IF(KysymyksetTaulukko3[[#This Row],[Luokka + toimiala]]="Kuuluu","a) Oman vesilaitoksen kysymykset","b) Muut kysymykset")</f>
        <v>b) Muut kysymykset</v>
      </c>
      <c r="K9" s="9" t="s">
        <v>123</v>
      </c>
      <c r="L9" s="9" t="s">
        <v>124</v>
      </c>
      <c r="M9" s="61" t="str">
        <f>LEFT(KysymyksetTaulukko3[[#This Row],[Alakategoria_]],2)</f>
        <v>9.</v>
      </c>
      <c r="N9" s="107"/>
      <c r="O9" s="70" t="s">
        <v>222</v>
      </c>
      <c r="P9" s="67" t="str">
        <f>IF(AND(KysymyksetTaulukko3[[#This Row],[Luokka]]="Extra",KysymyksetTaulukko3[[#This Row],[Luokka + toimiala]]="Kuuluu"),"Extra","")</f>
        <v/>
      </c>
      <c r="Q9" s="114"/>
      <c r="R9" s="64" t="s">
        <v>130</v>
      </c>
      <c r="S9" s="159"/>
      <c r="T9" s="123">
        <f>IF(AND(KysymyksetTaulukko3[[#This Row],[Luokka + toimiala]]="Kuuluu",KysymyksetTaulukko3[[#This Row],[Vastaus]]="Kyllä"),1,0)</f>
        <v>0</v>
      </c>
      <c r="U9" s="121">
        <f>IF(AND(KysymyksetTaulukko3[[#This Row],[Maksimipisteet]]=1,NOT(ISBLANK(KysymyksetTaulukko3[[#This Row],[Vastaus]]))),1,0)</f>
        <v>0</v>
      </c>
      <c r="V9" s="123">
        <f>IF(OR(KysymyksetTaulukko3[[#This Row],[Luokka + toimiala]]="Ei kuulu",KysymyksetTaulukko3[[#This Row],[Vastaus]]="Ei koske",KysymyksetTaulukko3[[#This Row],[Luokka]]="Extra",KysymyksetTaulukko3[[#This Row],[Otsikkorivi]]="Kyllä"),0,1)</f>
        <v>0</v>
      </c>
    </row>
    <row r="10" spans="1:34" ht="28.5" x14ac:dyDescent="0.25">
      <c r="A10" s="3" t="s">
        <v>19</v>
      </c>
      <c r="B10" s="3" t="str">
        <f>IF(ISNUMBER(SEARCH("," &amp; LV!$B$10 &amp; ",", "," &amp; SUBSTITUTE(A10, " ", "")&amp; ",")),
  "Kuuluu",
  IF(AND(LV!$B$10&gt;=2,
      LV!$B$10&lt;=4,
      OR(ISNUMBER(SEARCH("," &amp;(LV!$B$10+1)&amp; ",", "," &amp; SUBSTITUTE(A10, " ", "")&amp; ",")),
        ISNUMBER(SEARCH("," &amp;(LV!$B$10+2)&amp; ",", "," &amp; SUBSTITUTE(A10, " ", "")&amp; ",")),
        ISNUMBER(SEARCH("," &amp;(LV!$B$10+3)&amp; ",", "," &amp; SUBSTITUTE(A10, " ", "")&amp; ",")),
        ISNUMBER(SEARCH("," &amp;(LV!$B$10+4)&amp; ",", "," &amp; SUBSTITUTE(A10, " ", "")&amp; ",")),
        ISNUMBER(SEARCH("," &amp;(LV!$B$10+5)&amp; ",", "," &amp; SUBSTITUTE(A10, " ", "")&amp; ",")))),
    "Extra",
    "Ei kuulu"))</f>
        <v>Ei kuulu</v>
      </c>
      <c r="C10" s="3" t="s">
        <v>126</v>
      </c>
      <c r="D10" s="3" t="str">
        <f>IF(ISNUMBER(SEARCH(LV!$I$5, Kestävä_ja_kehittyvä!C10)), "K", "E")</f>
        <v>E</v>
      </c>
      <c r="E10" s="3" t="str">
        <f>IF(ISNUMBER(SEARCH(LV!$I$6, Kestävä_ja_kehittyvä!$C10)), "K", "E")</f>
        <v>E</v>
      </c>
      <c r="F10" s="3" t="str">
        <f>IF(ISNUMBER(SEARCH(LV!$I$7, Kestävä_ja_kehittyvä!$C10)), "K", "E")</f>
        <v>E</v>
      </c>
      <c r="G10" s="3" t="str">
        <f>IF(ISNUMBER(SEARCH(LV!$I$8, Kestävä_ja_kehittyvä!$C10)), "K", "E")</f>
        <v>E</v>
      </c>
      <c r="H10" s="3" t="str">
        <f>IF(OR(KysymyksetTaulukko3[[#This Row],[Toimiala A]]="K",KysymyksetTaulukko3[[#This Row],[Toimiala B]]="K",KysymyksetTaulukko3[[#This Row],[Toimiala C]]="K",KysymyksetTaulukko3[[#This Row],[Toimiala D]]="K"),"Kuuluu","Ei kuulu")</f>
        <v>Ei kuulu</v>
      </c>
      <c r="I10" s="3" t="str">
        <f>IF(OR(KysymyksetTaulukko3[[#This Row],[Luokka]]="Ei kuulu",KysymyksetTaulukko3[[#This Row],[Toimiala-
kysymys]]="Ei kuulu"), "Ei kuulu", "Kuuluu")</f>
        <v>Ei kuulu</v>
      </c>
      <c r="J10" s="3" t="str">
        <f>IF(KysymyksetTaulukko3[[#This Row],[Luokka + toimiala]]="Kuuluu","a) Oman vesilaitoksen kysymykset","b) Muut kysymykset")</f>
        <v>b) Muut kysymykset</v>
      </c>
      <c r="K10" s="9" t="s">
        <v>123</v>
      </c>
      <c r="L10" s="9" t="s">
        <v>124</v>
      </c>
      <c r="M10" s="61" t="str">
        <f>LEFT(KysymyksetTaulukko3[[#This Row],[Alakategoria_]],2)</f>
        <v>9.</v>
      </c>
      <c r="N10" s="107" t="s">
        <v>11</v>
      </c>
      <c r="O10" s="70" t="s">
        <v>206</v>
      </c>
      <c r="P10" s="67" t="str">
        <f>IF(AND(KysymyksetTaulukko3[[#This Row],[Luokka]]="Extra",KysymyksetTaulukko3[[#This Row],[Luokka + toimiala]]="Kuuluu"),"Extra","")</f>
        <v/>
      </c>
      <c r="Q10" s="114"/>
      <c r="R10" s="64" t="s">
        <v>131</v>
      </c>
      <c r="S10" s="159"/>
      <c r="T10" s="123">
        <f>IF(AND(KysymyksetTaulukko3[[#This Row],[Luokka + toimiala]]="Kuuluu",KysymyksetTaulukko3[[#This Row],[Vastaus]]="Kyllä"),1,0)</f>
        <v>0</v>
      </c>
      <c r="U10" s="121">
        <f>IF(AND(KysymyksetTaulukko3[[#This Row],[Maksimipisteet]]=1,NOT(ISBLANK(KysymyksetTaulukko3[[#This Row],[Vastaus]]))),1,0)</f>
        <v>0</v>
      </c>
      <c r="V10" s="123">
        <f>IF(OR(KysymyksetTaulukko3[[#This Row],[Luokka + toimiala]]="Ei kuulu",KysymyksetTaulukko3[[#This Row],[Vastaus]]="Ei koske",KysymyksetTaulukko3[[#This Row],[Luokka]]="Extra",KysymyksetTaulukko3[[#This Row],[Otsikkorivi]]="Kyllä"),0,1)</f>
        <v>0</v>
      </c>
    </row>
    <row r="11" spans="1:34" ht="30" x14ac:dyDescent="0.25">
      <c r="A11" s="3">
        <v>3.4</v>
      </c>
      <c r="B11" s="3" t="str">
        <f>IF(ISNUMBER(SEARCH("," &amp; LV!$B$10 &amp; ",", "," &amp; SUBSTITUTE(A11, " ", "")&amp; ",")),
  "Kuuluu",
  IF(AND(LV!$B$10&gt;=2,
      LV!$B$10&lt;=4,
      OR(ISNUMBER(SEARCH("," &amp;(LV!$B$10+1)&amp; ",", "," &amp; SUBSTITUTE(A11, " ", "")&amp; ",")),
        ISNUMBER(SEARCH("," &amp;(LV!$B$10+2)&amp; ",", "," &amp; SUBSTITUTE(A11, " ", "")&amp; ",")),
        ISNUMBER(SEARCH("," &amp;(LV!$B$10+3)&amp; ",", "," &amp; SUBSTITUTE(A11, " ", "")&amp; ",")),
        ISNUMBER(SEARCH("," &amp;(LV!$B$10+4)&amp; ",", "," &amp; SUBSTITUTE(A11, " ", "")&amp; ",")),
        ISNUMBER(SEARCH("," &amp;(LV!$B$10+5)&amp; ",", "," &amp; SUBSTITUTE(A11, " ", "")&amp; ",")))),
    "Extra",
    "Ei kuulu"))</f>
        <v>Ei kuulu</v>
      </c>
      <c r="C11" s="3" t="s">
        <v>126</v>
      </c>
      <c r="D11" s="3" t="str">
        <f>IF(ISNUMBER(SEARCH(LV!$I$5, Kestävä_ja_kehittyvä!C11)), "K", "E")</f>
        <v>E</v>
      </c>
      <c r="E11" s="3" t="str">
        <f>IF(ISNUMBER(SEARCH(LV!$I$6, Kestävä_ja_kehittyvä!$C11)), "K", "E")</f>
        <v>E</v>
      </c>
      <c r="F11" s="3" t="str">
        <f>IF(ISNUMBER(SEARCH(LV!$I$7, Kestävä_ja_kehittyvä!$C11)), "K", "E")</f>
        <v>E</v>
      </c>
      <c r="G11" s="3" t="str">
        <f>IF(ISNUMBER(SEARCH(LV!$I$8, Kestävä_ja_kehittyvä!$C11)), "K", "E")</f>
        <v>E</v>
      </c>
      <c r="H11" s="3" t="str">
        <f>IF(OR(KysymyksetTaulukko3[[#This Row],[Toimiala A]]="K",KysymyksetTaulukko3[[#This Row],[Toimiala B]]="K",KysymyksetTaulukko3[[#This Row],[Toimiala C]]="K",KysymyksetTaulukko3[[#This Row],[Toimiala D]]="K"),"Kuuluu","Ei kuulu")</f>
        <v>Ei kuulu</v>
      </c>
      <c r="I11" s="3" t="str">
        <f>IF(OR(KysymyksetTaulukko3[[#This Row],[Luokka]]="Ei kuulu",KysymyksetTaulukko3[[#This Row],[Toimiala-
kysymys]]="Ei kuulu"), "Ei kuulu", "Kuuluu")</f>
        <v>Ei kuulu</v>
      </c>
      <c r="J11" s="3" t="str">
        <f>IF(KysymyksetTaulukko3[[#This Row],[Luokka + toimiala]]="Kuuluu","a) Oman vesilaitoksen kysymykset","b) Muut kysymykset")</f>
        <v>b) Muut kysymykset</v>
      </c>
      <c r="K11" s="9" t="s">
        <v>123</v>
      </c>
      <c r="L11" s="9" t="s">
        <v>124</v>
      </c>
      <c r="M11" s="61" t="str">
        <f>LEFT(KysymyksetTaulukko3[[#This Row],[Alakategoria_]],2)</f>
        <v>9.</v>
      </c>
      <c r="N11" s="107"/>
      <c r="O11" s="70" t="s">
        <v>222</v>
      </c>
      <c r="P11" s="67" t="str">
        <f>IF(AND(KysymyksetTaulukko3[[#This Row],[Luokka]]="Extra",KysymyksetTaulukko3[[#This Row],[Luokka + toimiala]]="Kuuluu"),"Extra","")</f>
        <v/>
      </c>
      <c r="Q11" s="114"/>
      <c r="R11" s="64" t="s">
        <v>132</v>
      </c>
      <c r="S11" s="159"/>
      <c r="T11" s="123">
        <f>IF(AND(KysymyksetTaulukko3[[#This Row],[Luokka + toimiala]]="Kuuluu",KysymyksetTaulukko3[[#This Row],[Vastaus]]="Kyllä"),1,0)</f>
        <v>0</v>
      </c>
      <c r="U11" s="121">
        <f>IF(AND(KysymyksetTaulukko3[[#This Row],[Maksimipisteet]]=1,NOT(ISBLANK(KysymyksetTaulukko3[[#This Row],[Vastaus]]))),1,0)</f>
        <v>0</v>
      </c>
      <c r="V11" s="123">
        <f>IF(OR(KysymyksetTaulukko3[[#This Row],[Luokka + toimiala]]="Ei kuulu",KysymyksetTaulukko3[[#This Row],[Vastaus]]="Ei koske",KysymyksetTaulukko3[[#This Row],[Luokka]]="Extra",KysymyksetTaulukko3[[#This Row],[Otsikkorivi]]="Kyllä"),0,1)</f>
        <v>0</v>
      </c>
    </row>
    <row r="12" spans="1:34" ht="30" x14ac:dyDescent="0.25">
      <c r="A12" s="3">
        <v>3.4</v>
      </c>
      <c r="B12" s="3" t="str">
        <f>IF(ISNUMBER(SEARCH("," &amp; LV!$B$10 &amp; ",", "," &amp; SUBSTITUTE(A12, " ", "")&amp; ",")),
  "Kuuluu",
  IF(AND(LV!$B$10&gt;=2,
      LV!$B$10&lt;=4,
      OR(ISNUMBER(SEARCH("," &amp;(LV!$B$10+1)&amp; ",", "," &amp; SUBSTITUTE(A12, " ", "")&amp; ",")),
        ISNUMBER(SEARCH("," &amp;(LV!$B$10+2)&amp; ",", "," &amp; SUBSTITUTE(A12, " ", "")&amp; ",")),
        ISNUMBER(SEARCH("," &amp;(LV!$B$10+3)&amp; ",", "," &amp; SUBSTITUTE(A12, " ", "")&amp; ",")),
        ISNUMBER(SEARCH("," &amp;(LV!$B$10+4)&amp; ",", "," &amp; SUBSTITUTE(A12, " ", "")&amp; ",")),
        ISNUMBER(SEARCH("," &amp;(LV!$B$10+5)&amp; ",", "," &amp; SUBSTITUTE(A12, " ", "")&amp; ",")))),
    "Extra",
    "Ei kuulu"))</f>
        <v>Ei kuulu</v>
      </c>
      <c r="C12" s="3" t="s">
        <v>126</v>
      </c>
      <c r="D12" s="3" t="str">
        <f>IF(ISNUMBER(SEARCH(LV!$I$5, Kestävä_ja_kehittyvä!C12)), "K", "E")</f>
        <v>E</v>
      </c>
      <c r="E12" s="3" t="str">
        <f>IF(ISNUMBER(SEARCH(LV!$I$6, Kestävä_ja_kehittyvä!$C12)), "K", "E")</f>
        <v>E</v>
      </c>
      <c r="F12" s="3" t="str">
        <f>IF(ISNUMBER(SEARCH(LV!$I$7, Kestävä_ja_kehittyvä!$C12)), "K", "E")</f>
        <v>E</v>
      </c>
      <c r="G12" s="3" t="str">
        <f>IF(ISNUMBER(SEARCH(LV!$I$8, Kestävä_ja_kehittyvä!$C12)), "K", "E")</f>
        <v>E</v>
      </c>
      <c r="H12" s="3" t="str">
        <f>IF(OR(KysymyksetTaulukko3[[#This Row],[Toimiala A]]="K",KysymyksetTaulukko3[[#This Row],[Toimiala B]]="K",KysymyksetTaulukko3[[#This Row],[Toimiala C]]="K",KysymyksetTaulukko3[[#This Row],[Toimiala D]]="K"),"Kuuluu","Ei kuulu")</f>
        <v>Ei kuulu</v>
      </c>
      <c r="I12" s="3" t="str">
        <f>IF(OR(KysymyksetTaulukko3[[#This Row],[Luokka]]="Ei kuulu",KysymyksetTaulukko3[[#This Row],[Toimiala-
kysymys]]="Ei kuulu"), "Ei kuulu", "Kuuluu")</f>
        <v>Ei kuulu</v>
      </c>
      <c r="J12" s="3" t="str">
        <f>IF(KysymyksetTaulukko3[[#This Row],[Luokka + toimiala]]="Kuuluu","a) Oman vesilaitoksen kysymykset","b) Muut kysymykset")</f>
        <v>b) Muut kysymykset</v>
      </c>
      <c r="K12" s="9" t="s">
        <v>123</v>
      </c>
      <c r="L12" s="9" t="s">
        <v>124</v>
      </c>
      <c r="M12" s="61" t="str">
        <f>LEFT(KysymyksetTaulukko3[[#This Row],[Alakategoria_]],2)</f>
        <v>9.</v>
      </c>
      <c r="N12" s="107"/>
      <c r="O12" s="70" t="s">
        <v>222</v>
      </c>
      <c r="P12" s="67" t="str">
        <f>IF(AND(KysymyksetTaulukko3[[#This Row],[Luokka]]="Extra",KysymyksetTaulukko3[[#This Row],[Luokka + toimiala]]="Kuuluu"),"Extra","")</f>
        <v/>
      </c>
      <c r="Q12" s="114"/>
      <c r="R12" s="64" t="s">
        <v>133</v>
      </c>
      <c r="S12" s="159"/>
      <c r="T12" s="123">
        <f>IF(AND(KysymyksetTaulukko3[[#This Row],[Luokka + toimiala]]="Kuuluu",KysymyksetTaulukko3[[#This Row],[Vastaus]]="Kyllä"),1,0)</f>
        <v>0</v>
      </c>
      <c r="U12" s="121">
        <f>IF(AND(KysymyksetTaulukko3[[#This Row],[Maksimipisteet]]=1,NOT(ISBLANK(KysymyksetTaulukko3[[#This Row],[Vastaus]]))),1,0)</f>
        <v>0</v>
      </c>
      <c r="V12" s="123">
        <f>IF(OR(KysymyksetTaulukko3[[#This Row],[Luokka + toimiala]]="Ei kuulu",KysymyksetTaulukko3[[#This Row],[Vastaus]]="Ei koske",KysymyksetTaulukko3[[#This Row],[Luokka]]="Extra",KysymyksetTaulukko3[[#This Row],[Otsikkorivi]]="Kyllä"),0,1)</f>
        <v>0</v>
      </c>
    </row>
    <row r="13" spans="1:34" ht="30" x14ac:dyDescent="0.25">
      <c r="A13" s="3">
        <v>3.4</v>
      </c>
      <c r="B13" s="3" t="str">
        <f>IF(ISNUMBER(SEARCH("," &amp; LV!$B$10 &amp; ",", "," &amp; SUBSTITUTE(A13, " ", "")&amp; ",")),
  "Kuuluu",
  IF(AND(LV!$B$10&gt;=2,
      LV!$B$10&lt;=4,
      OR(ISNUMBER(SEARCH("," &amp;(LV!$B$10+1)&amp; ",", "," &amp; SUBSTITUTE(A13, " ", "")&amp; ",")),
        ISNUMBER(SEARCH("," &amp;(LV!$B$10+2)&amp; ",", "," &amp; SUBSTITUTE(A13, " ", "")&amp; ",")),
        ISNUMBER(SEARCH("," &amp;(LV!$B$10+3)&amp; ",", "," &amp; SUBSTITUTE(A13, " ", "")&amp; ",")),
        ISNUMBER(SEARCH("," &amp;(LV!$B$10+4)&amp; ",", "," &amp; SUBSTITUTE(A13, " ", "")&amp; ",")),
        ISNUMBER(SEARCH("," &amp;(LV!$B$10+5)&amp; ",", "," &amp; SUBSTITUTE(A13, " ", "")&amp; ",")))),
    "Extra",
    "Ei kuulu"))</f>
        <v>Ei kuulu</v>
      </c>
      <c r="C13" s="3" t="s">
        <v>129</v>
      </c>
      <c r="D13" s="3" t="str">
        <f>IF(ISNUMBER(SEARCH(LV!$I$5, Kestävä_ja_kehittyvä!C13)), "K", "E")</f>
        <v>E</v>
      </c>
      <c r="E13" s="3" t="str">
        <f>IF(ISNUMBER(SEARCH(LV!$I$6, Kestävä_ja_kehittyvä!$C13)), "K", "E")</f>
        <v>E</v>
      </c>
      <c r="F13" s="3" t="str">
        <f>IF(ISNUMBER(SEARCH(LV!$I$7, Kestävä_ja_kehittyvä!$C13)), "K", "E")</f>
        <v>E</v>
      </c>
      <c r="G13" s="3" t="str">
        <f>IF(ISNUMBER(SEARCH(LV!$I$8, Kestävä_ja_kehittyvä!$C13)), "K", "E")</f>
        <v>E</v>
      </c>
      <c r="H13" s="3" t="str">
        <f>IF(OR(KysymyksetTaulukko3[[#This Row],[Toimiala A]]="K",KysymyksetTaulukko3[[#This Row],[Toimiala B]]="K",KysymyksetTaulukko3[[#This Row],[Toimiala C]]="K",KysymyksetTaulukko3[[#This Row],[Toimiala D]]="K"),"Kuuluu","Ei kuulu")</f>
        <v>Ei kuulu</v>
      </c>
      <c r="I13" s="3" t="str">
        <f>IF(OR(KysymyksetTaulukko3[[#This Row],[Luokka]]="Ei kuulu",KysymyksetTaulukko3[[#This Row],[Toimiala-
kysymys]]="Ei kuulu"), "Ei kuulu", "Kuuluu")</f>
        <v>Ei kuulu</v>
      </c>
      <c r="J13" s="3" t="str">
        <f>IF(KysymyksetTaulukko3[[#This Row],[Luokka + toimiala]]="Kuuluu","a) Oman vesilaitoksen kysymykset","b) Muut kysymykset")</f>
        <v>b) Muut kysymykset</v>
      </c>
      <c r="K13" s="9" t="s">
        <v>123</v>
      </c>
      <c r="L13" s="9" t="s">
        <v>124</v>
      </c>
      <c r="M13" s="61" t="str">
        <f>LEFT(KysymyksetTaulukko3[[#This Row],[Alakategoria_]],2)</f>
        <v>9.</v>
      </c>
      <c r="N13" s="107"/>
      <c r="O13" s="70" t="s">
        <v>222</v>
      </c>
      <c r="P13" s="67" t="str">
        <f>IF(AND(KysymyksetTaulukko3[[#This Row],[Luokka]]="Extra",KysymyksetTaulukko3[[#This Row],[Luokka + toimiala]]="Kuuluu"),"Extra","")</f>
        <v/>
      </c>
      <c r="Q13" s="114"/>
      <c r="R13" s="64" t="s">
        <v>134</v>
      </c>
      <c r="S13" s="159"/>
      <c r="T13" s="123">
        <f>IF(AND(KysymyksetTaulukko3[[#This Row],[Luokka + toimiala]]="Kuuluu",KysymyksetTaulukko3[[#This Row],[Vastaus]]="Kyllä"),1,0)</f>
        <v>0</v>
      </c>
      <c r="U13" s="121">
        <f>IF(AND(KysymyksetTaulukko3[[#This Row],[Maksimipisteet]]=1,NOT(ISBLANK(KysymyksetTaulukko3[[#This Row],[Vastaus]]))),1,0)</f>
        <v>0</v>
      </c>
      <c r="V13" s="123">
        <f>IF(OR(KysymyksetTaulukko3[[#This Row],[Luokka + toimiala]]="Ei kuulu",KysymyksetTaulukko3[[#This Row],[Vastaus]]="Ei koske",KysymyksetTaulukko3[[#This Row],[Luokka]]="Extra",KysymyksetTaulukko3[[#This Row],[Otsikkorivi]]="Kyllä"),0,1)</f>
        <v>0</v>
      </c>
    </row>
    <row r="14" spans="1:34" ht="28.5" x14ac:dyDescent="0.25">
      <c r="A14" s="3" t="s">
        <v>6</v>
      </c>
      <c r="B14" s="3" t="str">
        <f>IF(ISNUMBER(SEARCH("," &amp; LV!$B$10 &amp; ",", "," &amp; SUBSTITUTE(A14, " ", "")&amp; ",")),
  "Kuuluu",
  IF(AND(LV!$B$10&gt;=2,
      LV!$B$10&lt;=4,
      OR(ISNUMBER(SEARCH("," &amp;(LV!$B$10+1)&amp; ",", "," &amp; SUBSTITUTE(A14, " ", "")&amp; ",")),
        ISNUMBER(SEARCH("," &amp;(LV!$B$10+2)&amp; ",", "," &amp; SUBSTITUTE(A14, " ", "")&amp; ",")),
        ISNUMBER(SEARCH("," &amp;(LV!$B$10+3)&amp; ",", "," &amp; SUBSTITUTE(A14, " ", "")&amp; ",")),
        ISNUMBER(SEARCH("," &amp;(LV!$B$10+4)&amp; ",", "," &amp; SUBSTITUTE(A14, " ", "")&amp; ",")),
        ISNUMBER(SEARCH("," &amp;(LV!$B$10+5)&amp; ",", "," &amp; SUBSTITUTE(A14, " ", "")&amp; ",")))),
    "Extra",
    "Ei kuulu"))</f>
        <v>Ei kuulu</v>
      </c>
      <c r="C14" s="3" t="s">
        <v>28</v>
      </c>
      <c r="D14" s="3" t="str">
        <f>IF(ISNUMBER(SEARCH(LV!$I$5, Kestävä_ja_kehittyvä!C14)), "K", "E")</f>
        <v>E</v>
      </c>
      <c r="E14" s="3" t="str">
        <f>IF(ISNUMBER(SEARCH(LV!$I$6, Kestävä_ja_kehittyvä!$C14)), "K", "E")</f>
        <v>E</v>
      </c>
      <c r="F14" s="3" t="str">
        <f>IF(ISNUMBER(SEARCH(LV!$I$7, Kestävä_ja_kehittyvä!$C14)), "K", "E")</f>
        <v>E</v>
      </c>
      <c r="G14" s="3" t="str">
        <f>IF(ISNUMBER(SEARCH(LV!$I$8, Kestävä_ja_kehittyvä!$C14)), "K", "E")</f>
        <v>E</v>
      </c>
      <c r="H14" s="3" t="str">
        <f>IF(OR(KysymyksetTaulukko3[[#This Row],[Toimiala A]]="K",KysymyksetTaulukko3[[#This Row],[Toimiala B]]="K",KysymyksetTaulukko3[[#This Row],[Toimiala C]]="K",KysymyksetTaulukko3[[#This Row],[Toimiala D]]="K"),"Kuuluu","Ei kuulu")</f>
        <v>Ei kuulu</v>
      </c>
      <c r="I14" s="3" t="str">
        <f>IF(OR(KysymyksetTaulukko3[[#This Row],[Luokka]]="Ei kuulu",KysymyksetTaulukko3[[#This Row],[Toimiala-
kysymys]]="Ei kuulu"), "Ei kuulu", "Kuuluu")</f>
        <v>Ei kuulu</v>
      </c>
      <c r="J14" s="3" t="str">
        <f>IF(KysymyksetTaulukko3[[#This Row],[Luokka + toimiala]]="Kuuluu","a) Oman vesilaitoksen kysymykset","b) Muut kysymykset")</f>
        <v>b) Muut kysymykset</v>
      </c>
      <c r="K14" s="9" t="s">
        <v>123</v>
      </c>
      <c r="L14" s="126" t="s">
        <v>241</v>
      </c>
      <c r="M14" s="61" t="str">
        <f>LEFT(KysymyksetTaulukko3[[#This Row],[Alakategoria_]],2)</f>
        <v>_O</v>
      </c>
      <c r="N14" s="107"/>
      <c r="O14" s="70"/>
      <c r="P14" s="67" t="str">
        <f>IF(AND(KysymyksetTaulukko3[[#This Row],[Luokka]]="Extra",KysymyksetTaulukko3[[#This Row],[Luokka + toimiala]]="Kuuluu"),"Extra","")</f>
        <v/>
      </c>
      <c r="Q14" s="114" t="s">
        <v>177</v>
      </c>
      <c r="R14" s="128" t="s">
        <v>135</v>
      </c>
      <c r="S14" s="158"/>
      <c r="T14" s="123">
        <f>IF(AND(KysymyksetTaulukko3[[#This Row],[Luokka + toimiala]]="Kuuluu",KysymyksetTaulukko3[[#This Row],[Vastaus]]="Kyllä"),1,0)</f>
        <v>0</v>
      </c>
      <c r="U14" s="121">
        <f>IF(AND(KysymyksetTaulukko3[[#This Row],[Maksimipisteet]]=1,NOT(ISBLANK(KysymyksetTaulukko3[[#This Row],[Vastaus]]))),1,0)</f>
        <v>0</v>
      </c>
      <c r="V14" s="123">
        <f>IF(OR(KysymyksetTaulukko3[[#This Row],[Luokka + toimiala]]="Ei kuulu",KysymyksetTaulukko3[[#This Row],[Vastaus]]="Ei koske",KysymyksetTaulukko3[[#This Row],[Luokka]]="Extra",KysymyksetTaulukko3[[#This Row],[Otsikkorivi]]="Kyllä"),0,1)</f>
        <v>0</v>
      </c>
    </row>
    <row r="15" spans="1:34" s="1" customFormat="1" ht="28.5" x14ac:dyDescent="0.25">
      <c r="A15" s="3">
        <v>1</v>
      </c>
      <c r="B15" s="3" t="str">
        <f>IF(ISNUMBER(SEARCH("," &amp; LV!$B$10 &amp; ",", "," &amp; SUBSTITUTE(A15, " ", "")&amp; ",")),
  "Kuuluu",
  IF(AND(LV!$B$10&gt;=2,
      LV!$B$10&lt;=4,
      OR(ISNUMBER(SEARCH("," &amp;(LV!$B$10+1)&amp; ",", "," &amp; SUBSTITUTE(A15, " ", "")&amp; ",")),
        ISNUMBER(SEARCH("," &amp;(LV!$B$10+2)&amp; ",", "," &amp; SUBSTITUTE(A15, " ", "")&amp; ",")),
        ISNUMBER(SEARCH("," &amp;(LV!$B$10+3)&amp; ",", "," &amp; SUBSTITUTE(A15, " ", "")&amp; ",")),
        ISNUMBER(SEARCH("," &amp;(LV!$B$10+4)&amp; ",", "," &amp; SUBSTITUTE(A15, " ", "")&amp; ",")),
        ISNUMBER(SEARCH("," &amp;(LV!$B$10+5)&amp; ",", "," &amp; SUBSTITUTE(A15, " ", "")&amp; ",")))),
    "Extra",
    "Ei kuulu"))</f>
        <v>Ei kuulu</v>
      </c>
      <c r="C15" s="3" t="s">
        <v>28</v>
      </c>
      <c r="D15" s="3" t="str">
        <f>IF(ISNUMBER(SEARCH(LV!$I$5, Kestävä_ja_kehittyvä!C15)), "K", "E")</f>
        <v>E</v>
      </c>
      <c r="E15" s="3" t="str">
        <f>IF(ISNUMBER(SEARCH(LV!$I$6, Kestävä_ja_kehittyvä!$C15)), "K", "E")</f>
        <v>E</v>
      </c>
      <c r="F15" s="3" t="str">
        <f>IF(ISNUMBER(SEARCH(LV!$I$7, Kestävä_ja_kehittyvä!$C15)), "K", "E")</f>
        <v>E</v>
      </c>
      <c r="G15" s="3" t="str">
        <f>IF(ISNUMBER(SEARCH(LV!$I$8, Kestävä_ja_kehittyvä!$C15)), "K", "E")</f>
        <v>E</v>
      </c>
      <c r="H15" s="3" t="str">
        <f>IF(OR(KysymyksetTaulukko3[[#This Row],[Toimiala A]]="K",KysymyksetTaulukko3[[#This Row],[Toimiala B]]="K",KysymyksetTaulukko3[[#This Row],[Toimiala C]]="K",KysymyksetTaulukko3[[#This Row],[Toimiala D]]="K"),"Kuuluu","Ei kuulu")</f>
        <v>Ei kuulu</v>
      </c>
      <c r="I15" s="3" t="str">
        <f>IF(OR(KysymyksetTaulukko3[[#This Row],[Luokka]]="Ei kuulu",KysymyksetTaulukko3[[#This Row],[Toimiala-
kysymys]]="Ei kuulu"), "Ei kuulu", "Kuuluu")</f>
        <v>Ei kuulu</v>
      </c>
      <c r="J15" s="3" t="str">
        <f>IF(KysymyksetTaulukko3[[#This Row],[Luokka + toimiala]]="Kuuluu","a) Oman vesilaitoksen kysymykset","b) Muut kysymykset")</f>
        <v>b) Muut kysymykset</v>
      </c>
      <c r="K15" s="9" t="s">
        <v>123</v>
      </c>
      <c r="L15" s="126" t="s">
        <v>135</v>
      </c>
      <c r="M15" s="61" t="str">
        <f>LEFT(KysymyksetTaulukko3[[#This Row],[Alakategoria_]],2)</f>
        <v>10</v>
      </c>
      <c r="N15" s="107"/>
      <c r="O15" s="70" t="s">
        <v>222</v>
      </c>
      <c r="P15" s="67" t="str">
        <f>IF(AND(KysymyksetTaulukko3[[#This Row],[Luokka]]="Extra",KysymyksetTaulukko3[[#This Row],[Luokka + toimiala]]="Kuuluu"),"Extra","")</f>
        <v/>
      </c>
      <c r="Q15" s="114"/>
      <c r="R15" s="64" t="s">
        <v>136</v>
      </c>
      <c r="S15" s="159"/>
      <c r="T15" s="123">
        <f>IF(AND(KysymyksetTaulukko3[[#This Row],[Luokka + toimiala]]="Kuuluu",KysymyksetTaulukko3[[#This Row],[Vastaus]]="Kyllä"),1,0)</f>
        <v>0</v>
      </c>
      <c r="U15" s="121">
        <f>IF(AND(KysymyksetTaulukko3[[#This Row],[Maksimipisteet]]=1,NOT(ISBLANK(KysymyksetTaulukko3[[#This Row],[Vastaus]]))),1,0)</f>
        <v>0</v>
      </c>
      <c r="V15" s="123">
        <f>IF(OR(KysymyksetTaulukko3[[#This Row],[Luokka + toimiala]]="Ei kuulu",KysymyksetTaulukko3[[#This Row],[Vastaus]]="Ei koske",KysymyksetTaulukko3[[#This Row],[Luokka]]="Extra",KysymyksetTaulukko3[[#This Row],[Otsikkorivi]]="Kyllä"),0,1)</f>
        <v>0</v>
      </c>
    </row>
    <row r="16" spans="1:34" ht="30" x14ac:dyDescent="0.25">
      <c r="A16" s="3" t="s">
        <v>19</v>
      </c>
      <c r="B16" s="3" t="str">
        <f>IF(ISNUMBER(SEARCH("," &amp; LV!$B$10 &amp; ",", "," &amp; SUBSTITUTE(A16, " ", "")&amp; ",")),
  "Kuuluu",
  IF(AND(LV!$B$10&gt;=2,
      LV!$B$10&lt;=4,
      OR(ISNUMBER(SEARCH("," &amp;(LV!$B$10+1)&amp; ",", "," &amp; SUBSTITUTE(A16, " ", "")&amp; ",")),
        ISNUMBER(SEARCH("," &amp;(LV!$B$10+2)&amp; ",", "," &amp; SUBSTITUTE(A16, " ", "")&amp; ",")),
        ISNUMBER(SEARCH("," &amp;(LV!$B$10+3)&amp; ",", "," &amp; SUBSTITUTE(A16, " ", "")&amp; ",")),
        ISNUMBER(SEARCH("," &amp;(LV!$B$10+4)&amp; ",", "," &amp; SUBSTITUTE(A16, " ", "")&amp; ",")),
        ISNUMBER(SEARCH("," &amp;(LV!$B$10+5)&amp; ",", "," &amp; SUBSTITUTE(A16, " ", "")&amp; ",")))),
    "Extra",
    "Ei kuulu"))</f>
        <v>Ei kuulu</v>
      </c>
      <c r="C16" s="3" t="s">
        <v>28</v>
      </c>
      <c r="D16" s="3" t="str">
        <f>IF(ISNUMBER(SEARCH(LV!$I$5, Kestävä_ja_kehittyvä!C16)), "K", "E")</f>
        <v>E</v>
      </c>
      <c r="E16" s="3" t="str">
        <f>IF(ISNUMBER(SEARCH(LV!$I$6, Kestävä_ja_kehittyvä!$C16)), "K", "E")</f>
        <v>E</v>
      </c>
      <c r="F16" s="3" t="str">
        <f>IF(ISNUMBER(SEARCH(LV!$I$7, Kestävä_ja_kehittyvä!$C16)), "K", "E")</f>
        <v>E</v>
      </c>
      <c r="G16" s="3" t="str">
        <f>IF(ISNUMBER(SEARCH(LV!$I$8, Kestävä_ja_kehittyvä!$C16)), "K", "E")</f>
        <v>E</v>
      </c>
      <c r="H16" s="3" t="str">
        <f>IF(OR(KysymyksetTaulukko3[[#This Row],[Toimiala A]]="K",KysymyksetTaulukko3[[#This Row],[Toimiala B]]="K",KysymyksetTaulukko3[[#This Row],[Toimiala C]]="K",KysymyksetTaulukko3[[#This Row],[Toimiala D]]="K"),"Kuuluu","Ei kuulu")</f>
        <v>Ei kuulu</v>
      </c>
      <c r="I16" s="3" t="str">
        <f>IF(OR(KysymyksetTaulukko3[[#This Row],[Luokka]]="Ei kuulu",KysymyksetTaulukko3[[#This Row],[Toimiala-
kysymys]]="Ei kuulu"), "Ei kuulu", "Kuuluu")</f>
        <v>Ei kuulu</v>
      </c>
      <c r="J16" s="3" t="str">
        <f>IF(KysymyksetTaulukko3[[#This Row],[Luokka + toimiala]]="Kuuluu","a) Oman vesilaitoksen kysymykset","b) Muut kysymykset")</f>
        <v>b) Muut kysymykset</v>
      </c>
      <c r="K16" s="9" t="s">
        <v>123</v>
      </c>
      <c r="L16" s="126" t="s">
        <v>135</v>
      </c>
      <c r="M16" s="61" t="str">
        <f>LEFT(KysymyksetTaulukko3[[#This Row],[Alakategoria_]],2)</f>
        <v>10</v>
      </c>
      <c r="N16" s="107"/>
      <c r="O16" s="70" t="s">
        <v>222</v>
      </c>
      <c r="P16" s="67" t="str">
        <f>IF(AND(KysymyksetTaulukko3[[#This Row],[Luokka]]="Extra",KysymyksetTaulukko3[[#This Row],[Luokka + toimiala]]="Kuuluu"),"Extra","")</f>
        <v/>
      </c>
      <c r="Q16" s="114"/>
      <c r="R16" s="64" t="s">
        <v>137</v>
      </c>
      <c r="S16" s="159"/>
      <c r="T16" s="123">
        <f>IF(AND(KysymyksetTaulukko3[[#This Row],[Luokka + toimiala]]="Kuuluu",KysymyksetTaulukko3[[#This Row],[Vastaus]]="Kyllä"),1,0)</f>
        <v>0</v>
      </c>
      <c r="U16" s="121">
        <f>IF(AND(KysymyksetTaulukko3[[#This Row],[Maksimipisteet]]=1,NOT(ISBLANK(KysymyksetTaulukko3[[#This Row],[Vastaus]]))),1,0)</f>
        <v>0</v>
      </c>
      <c r="V16" s="123">
        <f>IF(OR(KysymyksetTaulukko3[[#This Row],[Luokka + toimiala]]="Ei kuulu",KysymyksetTaulukko3[[#This Row],[Vastaus]]="Ei koske",KysymyksetTaulukko3[[#This Row],[Luokka]]="Extra",KysymyksetTaulukko3[[#This Row],[Otsikkorivi]]="Kyllä"),0,1)</f>
        <v>0</v>
      </c>
    </row>
    <row r="17" spans="1:22" ht="30" x14ac:dyDescent="0.25">
      <c r="A17" s="3" t="s">
        <v>12</v>
      </c>
      <c r="B17" s="3" t="str">
        <f>IF(ISNUMBER(SEARCH("," &amp; LV!$B$10 &amp; ",", "," &amp; SUBSTITUTE(A17, " ", "")&amp; ",")),
  "Kuuluu",
  IF(AND(LV!$B$10&gt;=2,
      LV!$B$10&lt;=4,
      OR(ISNUMBER(SEARCH("," &amp;(LV!$B$10+1)&amp; ",", "," &amp; SUBSTITUTE(A17, " ", "")&amp; ",")),
        ISNUMBER(SEARCH("," &amp;(LV!$B$10+2)&amp; ",", "," &amp; SUBSTITUTE(A17, " ", "")&amp; ",")),
        ISNUMBER(SEARCH("," &amp;(LV!$B$10+3)&amp; ",", "," &amp; SUBSTITUTE(A17, " ", "")&amp; ",")),
        ISNUMBER(SEARCH("," &amp;(LV!$B$10+4)&amp; ",", "," &amp; SUBSTITUTE(A17, " ", "")&amp; ",")),
        ISNUMBER(SEARCH("," &amp;(LV!$B$10+5)&amp; ",", "," &amp; SUBSTITUTE(A17, " ", "")&amp; ",")))),
    "Extra",
    "Ei kuulu"))</f>
        <v>Ei kuulu</v>
      </c>
      <c r="C17" s="3" t="s">
        <v>28</v>
      </c>
      <c r="D17" s="3" t="str">
        <f>IF(ISNUMBER(SEARCH(LV!$I$5, Kestävä_ja_kehittyvä!C17)), "K", "E")</f>
        <v>E</v>
      </c>
      <c r="E17" s="3" t="str">
        <f>IF(ISNUMBER(SEARCH(LV!$I$6, Kestävä_ja_kehittyvä!$C17)), "K", "E")</f>
        <v>E</v>
      </c>
      <c r="F17" s="3" t="str">
        <f>IF(ISNUMBER(SEARCH(LV!$I$7, Kestävä_ja_kehittyvä!$C17)), "K", "E")</f>
        <v>E</v>
      </c>
      <c r="G17" s="3" t="str">
        <f>IF(ISNUMBER(SEARCH(LV!$I$8, Kestävä_ja_kehittyvä!$C17)), "K", "E")</f>
        <v>E</v>
      </c>
      <c r="H17" s="3" t="str">
        <f>IF(OR(KysymyksetTaulukko3[[#This Row],[Toimiala A]]="K",KysymyksetTaulukko3[[#This Row],[Toimiala B]]="K",KysymyksetTaulukko3[[#This Row],[Toimiala C]]="K",KysymyksetTaulukko3[[#This Row],[Toimiala D]]="K"),"Kuuluu","Ei kuulu")</f>
        <v>Ei kuulu</v>
      </c>
      <c r="I17" s="3" t="str">
        <f>IF(OR(KysymyksetTaulukko3[[#This Row],[Luokka]]="Ei kuulu",KysymyksetTaulukko3[[#This Row],[Toimiala-
kysymys]]="Ei kuulu"), "Ei kuulu", "Kuuluu")</f>
        <v>Ei kuulu</v>
      </c>
      <c r="J17" s="3" t="str">
        <f>IF(KysymyksetTaulukko3[[#This Row],[Luokka + toimiala]]="Kuuluu","a) Oman vesilaitoksen kysymykset","b) Muut kysymykset")</f>
        <v>b) Muut kysymykset</v>
      </c>
      <c r="K17" s="9" t="s">
        <v>123</v>
      </c>
      <c r="L17" s="126" t="s">
        <v>135</v>
      </c>
      <c r="M17" s="61" t="str">
        <f>LEFT(KysymyksetTaulukko3[[#This Row],[Alakategoria_]],2)</f>
        <v>10</v>
      </c>
      <c r="N17" s="107"/>
      <c r="O17" s="70" t="s">
        <v>222</v>
      </c>
      <c r="P17" s="67" t="str">
        <f>IF(AND(KysymyksetTaulukko3[[#This Row],[Luokka]]="Extra",KysymyksetTaulukko3[[#This Row],[Luokka + toimiala]]="Kuuluu"),"Extra","")</f>
        <v/>
      </c>
      <c r="Q17" s="114"/>
      <c r="R17" s="64" t="s">
        <v>138</v>
      </c>
      <c r="S17" s="159"/>
      <c r="T17" s="123">
        <f>IF(AND(KysymyksetTaulukko3[[#This Row],[Luokka + toimiala]]="Kuuluu",KysymyksetTaulukko3[[#This Row],[Vastaus]]="Kyllä"),1,0)</f>
        <v>0</v>
      </c>
      <c r="U17" s="121">
        <f>IF(AND(KysymyksetTaulukko3[[#This Row],[Maksimipisteet]]=1,NOT(ISBLANK(KysymyksetTaulukko3[[#This Row],[Vastaus]]))),1,0)</f>
        <v>0</v>
      </c>
      <c r="V17" s="123">
        <f>IF(OR(KysymyksetTaulukko3[[#This Row],[Luokka + toimiala]]="Ei kuulu",KysymyksetTaulukko3[[#This Row],[Vastaus]]="Ei koske",KysymyksetTaulukko3[[#This Row],[Luokka]]="Extra",KysymyksetTaulukko3[[#This Row],[Otsikkorivi]]="Kyllä"),0,1)</f>
        <v>0</v>
      </c>
    </row>
    <row r="18" spans="1:22" ht="30" x14ac:dyDescent="0.25">
      <c r="A18" s="3" t="s">
        <v>19</v>
      </c>
      <c r="B18" s="3" t="str">
        <f>IF(ISNUMBER(SEARCH("," &amp; LV!$B$10 &amp; ",", "," &amp; SUBSTITUTE(A18, " ", "")&amp; ",")),
  "Kuuluu",
  IF(AND(LV!$B$10&gt;=2,
      LV!$B$10&lt;=4,
      OR(ISNUMBER(SEARCH("," &amp;(LV!$B$10+1)&amp; ",", "," &amp; SUBSTITUTE(A18, " ", "")&amp; ",")),
        ISNUMBER(SEARCH("," &amp;(LV!$B$10+2)&amp; ",", "," &amp; SUBSTITUTE(A18, " ", "")&amp; ",")),
        ISNUMBER(SEARCH("," &amp;(LV!$B$10+3)&amp; ",", "," &amp; SUBSTITUTE(A18, " ", "")&amp; ",")),
        ISNUMBER(SEARCH("," &amp;(LV!$B$10+4)&amp; ",", "," &amp; SUBSTITUTE(A18, " ", "")&amp; ",")),
        ISNUMBER(SEARCH("," &amp;(LV!$B$10+5)&amp; ",", "," &amp; SUBSTITUTE(A18, " ", "")&amp; ",")))),
    "Extra",
    "Ei kuulu"))</f>
        <v>Ei kuulu</v>
      </c>
      <c r="C18" s="3" t="s">
        <v>126</v>
      </c>
      <c r="D18" s="3" t="str">
        <f>IF(ISNUMBER(SEARCH(LV!$I$5, Kestävä_ja_kehittyvä!C18)), "K", "E")</f>
        <v>E</v>
      </c>
      <c r="E18" s="3" t="str">
        <f>IF(ISNUMBER(SEARCH(LV!$I$6, Kestävä_ja_kehittyvä!$C18)), "K", "E")</f>
        <v>E</v>
      </c>
      <c r="F18" s="3" t="str">
        <f>IF(ISNUMBER(SEARCH(LV!$I$7, Kestävä_ja_kehittyvä!$C18)), "K", "E")</f>
        <v>E</v>
      </c>
      <c r="G18" s="3" t="str">
        <f>IF(ISNUMBER(SEARCH(LV!$I$8, Kestävä_ja_kehittyvä!$C18)), "K", "E")</f>
        <v>E</v>
      </c>
      <c r="H18" s="3" t="str">
        <f>IF(OR(KysymyksetTaulukko3[[#This Row],[Toimiala A]]="K",KysymyksetTaulukko3[[#This Row],[Toimiala B]]="K",KysymyksetTaulukko3[[#This Row],[Toimiala C]]="K",KysymyksetTaulukko3[[#This Row],[Toimiala D]]="K"),"Kuuluu","Ei kuulu")</f>
        <v>Ei kuulu</v>
      </c>
      <c r="I18" s="3" t="str">
        <f>IF(OR(KysymyksetTaulukko3[[#This Row],[Luokka]]="Ei kuulu",KysymyksetTaulukko3[[#This Row],[Toimiala-
kysymys]]="Ei kuulu"), "Ei kuulu", "Kuuluu")</f>
        <v>Ei kuulu</v>
      </c>
      <c r="J18" s="3" t="str">
        <f>IF(KysymyksetTaulukko3[[#This Row],[Luokka + toimiala]]="Kuuluu","a) Oman vesilaitoksen kysymykset","b) Muut kysymykset")</f>
        <v>b) Muut kysymykset</v>
      </c>
      <c r="K18" s="9" t="s">
        <v>123</v>
      </c>
      <c r="L18" s="126" t="s">
        <v>135</v>
      </c>
      <c r="M18" s="61" t="str">
        <f>LEFT(KysymyksetTaulukko3[[#This Row],[Alakategoria_]],2)</f>
        <v>10</v>
      </c>
      <c r="N18" s="107"/>
      <c r="O18" s="70" t="s">
        <v>222</v>
      </c>
      <c r="P18" s="67" t="str">
        <f>IF(AND(KysymyksetTaulukko3[[#This Row],[Luokka]]="Extra",KysymyksetTaulukko3[[#This Row],[Luokka + toimiala]]="Kuuluu"),"Extra","")</f>
        <v/>
      </c>
      <c r="Q18" s="114"/>
      <c r="R18" s="64" t="s">
        <v>139</v>
      </c>
      <c r="S18" s="159"/>
      <c r="T18" s="123">
        <f>IF(AND(KysymyksetTaulukko3[[#This Row],[Luokka + toimiala]]="Kuuluu",KysymyksetTaulukko3[[#This Row],[Vastaus]]="Kyllä"),1,0)</f>
        <v>0</v>
      </c>
      <c r="U18" s="121">
        <f>IF(AND(KysymyksetTaulukko3[[#This Row],[Maksimipisteet]]=1,NOT(ISBLANK(KysymyksetTaulukko3[[#This Row],[Vastaus]]))),1,0)</f>
        <v>0</v>
      </c>
      <c r="V18" s="123">
        <f>IF(OR(KysymyksetTaulukko3[[#This Row],[Luokka + toimiala]]="Ei kuulu",KysymyksetTaulukko3[[#This Row],[Vastaus]]="Ei koske",KysymyksetTaulukko3[[#This Row],[Luokka]]="Extra",KysymyksetTaulukko3[[#This Row],[Otsikkorivi]]="Kyllä"),0,1)</f>
        <v>0</v>
      </c>
    </row>
    <row r="19" spans="1:22" ht="30" x14ac:dyDescent="0.25">
      <c r="A19" s="3" t="s">
        <v>19</v>
      </c>
      <c r="B19" s="3" t="str">
        <f>IF(ISNUMBER(SEARCH("," &amp; LV!$B$10 &amp; ",", "," &amp; SUBSTITUTE(A19, " ", "")&amp; ",")),
  "Kuuluu",
  IF(AND(LV!$B$10&gt;=2,
      LV!$B$10&lt;=4,
      OR(ISNUMBER(SEARCH("," &amp;(LV!$B$10+1)&amp; ",", "," &amp; SUBSTITUTE(A19, " ", "")&amp; ",")),
        ISNUMBER(SEARCH("," &amp;(LV!$B$10+2)&amp; ",", "," &amp; SUBSTITUTE(A19, " ", "")&amp; ",")),
        ISNUMBER(SEARCH("," &amp;(LV!$B$10+3)&amp; ",", "," &amp; SUBSTITUTE(A19, " ", "")&amp; ",")),
        ISNUMBER(SEARCH("," &amp;(LV!$B$10+4)&amp; ",", "," &amp; SUBSTITUTE(A19, " ", "")&amp; ",")),
        ISNUMBER(SEARCH("," &amp;(LV!$B$10+5)&amp; ",", "," &amp; SUBSTITUTE(A19, " ", "")&amp; ",")))),
    "Extra",
    "Ei kuulu"))</f>
        <v>Ei kuulu</v>
      </c>
      <c r="C19" s="3" t="s">
        <v>126</v>
      </c>
      <c r="D19" s="3" t="str">
        <f>IF(ISNUMBER(SEARCH(LV!$I$5, Kestävä_ja_kehittyvä!C19)), "K", "E")</f>
        <v>E</v>
      </c>
      <c r="E19" s="3" t="str">
        <f>IF(ISNUMBER(SEARCH(LV!$I$6, Kestävä_ja_kehittyvä!$C19)), "K", "E")</f>
        <v>E</v>
      </c>
      <c r="F19" s="3" t="str">
        <f>IF(ISNUMBER(SEARCH(LV!$I$7, Kestävä_ja_kehittyvä!$C19)), "K", "E")</f>
        <v>E</v>
      </c>
      <c r="G19" s="3" t="str">
        <f>IF(ISNUMBER(SEARCH(LV!$I$8, Kestävä_ja_kehittyvä!$C19)), "K", "E")</f>
        <v>E</v>
      </c>
      <c r="H19" s="3" t="str">
        <f>IF(OR(KysymyksetTaulukko3[[#This Row],[Toimiala A]]="K",KysymyksetTaulukko3[[#This Row],[Toimiala B]]="K",KysymyksetTaulukko3[[#This Row],[Toimiala C]]="K",KysymyksetTaulukko3[[#This Row],[Toimiala D]]="K"),"Kuuluu","Ei kuulu")</f>
        <v>Ei kuulu</v>
      </c>
      <c r="I19" s="3" t="str">
        <f>IF(OR(KysymyksetTaulukko3[[#This Row],[Luokka]]="Ei kuulu",KysymyksetTaulukko3[[#This Row],[Toimiala-
kysymys]]="Ei kuulu"), "Ei kuulu", "Kuuluu")</f>
        <v>Ei kuulu</v>
      </c>
      <c r="J19" s="3" t="str">
        <f>IF(KysymyksetTaulukko3[[#This Row],[Luokka + toimiala]]="Kuuluu","a) Oman vesilaitoksen kysymykset","b) Muut kysymykset")</f>
        <v>b) Muut kysymykset</v>
      </c>
      <c r="K19" s="9" t="s">
        <v>123</v>
      </c>
      <c r="L19" s="126" t="s">
        <v>135</v>
      </c>
      <c r="M19" s="61" t="str">
        <f>LEFT(KysymyksetTaulukko3[[#This Row],[Alakategoria_]],2)</f>
        <v>10</v>
      </c>
      <c r="N19" s="107"/>
      <c r="O19" s="70" t="s">
        <v>222</v>
      </c>
      <c r="P19" s="67" t="str">
        <f>IF(AND(KysymyksetTaulukko3[[#This Row],[Luokka]]="Extra",KysymyksetTaulukko3[[#This Row],[Luokka + toimiala]]="Kuuluu"),"Extra","")</f>
        <v/>
      </c>
      <c r="Q19" s="114"/>
      <c r="R19" s="64" t="s">
        <v>140</v>
      </c>
      <c r="S19" s="159"/>
      <c r="T19" s="123">
        <f>IF(AND(KysymyksetTaulukko3[[#This Row],[Luokka + toimiala]]="Kuuluu",KysymyksetTaulukko3[[#This Row],[Vastaus]]="Kyllä"),1,0)</f>
        <v>0</v>
      </c>
      <c r="U19" s="121">
        <f>IF(AND(KysymyksetTaulukko3[[#This Row],[Maksimipisteet]]=1,NOT(ISBLANK(KysymyksetTaulukko3[[#This Row],[Vastaus]]))),1,0)</f>
        <v>0</v>
      </c>
      <c r="V19" s="123">
        <f>IF(OR(KysymyksetTaulukko3[[#This Row],[Luokka + toimiala]]="Ei kuulu",KysymyksetTaulukko3[[#This Row],[Vastaus]]="Ei koske",KysymyksetTaulukko3[[#This Row],[Luokka]]="Extra",KysymyksetTaulukko3[[#This Row],[Otsikkorivi]]="Kyllä"),0,1)</f>
        <v>0</v>
      </c>
    </row>
    <row r="20" spans="1:22" ht="28.5" x14ac:dyDescent="0.25">
      <c r="A20" s="3">
        <v>3.4</v>
      </c>
      <c r="B20" s="3" t="str">
        <f>IF(ISNUMBER(SEARCH("," &amp; LV!$B$10 &amp; ",", "," &amp; SUBSTITUTE(A20, " ", "")&amp; ",")),
  "Kuuluu",
  IF(AND(LV!$B$10&gt;=2,
      LV!$B$10&lt;=4,
      OR(ISNUMBER(SEARCH("," &amp;(LV!$B$10+1)&amp; ",", "," &amp; SUBSTITUTE(A20, " ", "")&amp; ",")),
        ISNUMBER(SEARCH("," &amp;(LV!$B$10+2)&amp; ",", "," &amp; SUBSTITUTE(A20, " ", "")&amp; ",")),
        ISNUMBER(SEARCH("," &amp;(LV!$B$10+3)&amp; ",", "," &amp; SUBSTITUTE(A20, " ", "")&amp; ",")),
        ISNUMBER(SEARCH("," &amp;(LV!$B$10+4)&amp; ",", "," &amp; SUBSTITUTE(A20, " ", "")&amp; ",")),
        ISNUMBER(SEARCH("," &amp;(LV!$B$10+5)&amp; ",", "," &amp; SUBSTITUTE(A20, " ", "")&amp; ",")))),
    "Extra",
    "Ei kuulu"))</f>
        <v>Ei kuulu</v>
      </c>
      <c r="C20" s="3" t="s">
        <v>28</v>
      </c>
      <c r="D20" s="3" t="str">
        <f>IF(ISNUMBER(SEARCH(LV!$I$5, Kestävä_ja_kehittyvä!C20)), "K", "E")</f>
        <v>E</v>
      </c>
      <c r="E20" s="3" t="str">
        <f>IF(ISNUMBER(SEARCH(LV!$I$6, Kestävä_ja_kehittyvä!$C20)), "K", "E")</f>
        <v>E</v>
      </c>
      <c r="F20" s="3" t="str">
        <f>IF(ISNUMBER(SEARCH(LV!$I$7, Kestävä_ja_kehittyvä!$C20)), "K", "E")</f>
        <v>E</v>
      </c>
      <c r="G20" s="3" t="str">
        <f>IF(ISNUMBER(SEARCH(LV!$I$8, Kestävä_ja_kehittyvä!$C20)), "K", "E")</f>
        <v>E</v>
      </c>
      <c r="H20" s="3" t="str">
        <f>IF(OR(KysymyksetTaulukko3[[#This Row],[Toimiala A]]="K",KysymyksetTaulukko3[[#This Row],[Toimiala B]]="K",KysymyksetTaulukko3[[#This Row],[Toimiala C]]="K",KysymyksetTaulukko3[[#This Row],[Toimiala D]]="K"),"Kuuluu","Ei kuulu")</f>
        <v>Ei kuulu</v>
      </c>
      <c r="I20" s="3" t="str">
        <f>IF(OR(KysymyksetTaulukko3[[#This Row],[Luokka]]="Ei kuulu",KysymyksetTaulukko3[[#This Row],[Toimiala-
kysymys]]="Ei kuulu"), "Ei kuulu", "Kuuluu")</f>
        <v>Ei kuulu</v>
      </c>
      <c r="J20" s="3" t="str">
        <f>IF(KysymyksetTaulukko3[[#This Row],[Luokka + toimiala]]="Kuuluu","a) Oman vesilaitoksen kysymykset","b) Muut kysymykset")</f>
        <v>b) Muut kysymykset</v>
      </c>
      <c r="K20" s="9" t="s">
        <v>123</v>
      </c>
      <c r="L20" s="126" t="s">
        <v>135</v>
      </c>
      <c r="M20" s="61" t="str">
        <f>LEFT(KysymyksetTaulukko3[[#This Row],[Alakategoria_]],2)</f>
        <v>10</v>
      </c>
      <c r="N20" s="107"/>
      <c r="O20" s="70" t="s">
        <v>222</v>
      </c>
      <c r="P20" s="67" t="str">
        <f>IF(AND(KysymyksetTaulukko3[[#This Row],[Luokka]]="Extra",KysymyksetTaulukko3[[#This Row],[Luokka + toimiala]]="Kuuluu"),"Extra","")</f>
        <v/>
      </c>
      <c r="Q20" s="114"/>
      <c r="R20" s="64" t="s">
        <v>141</v>
      </c>
      <c r="S20" s="159"/>
      <c r="T20" s="123">
        <f>IF(AND(KysymyksetTaulukko3[[#This Row],[Luokka + toimiala]]="Kuuluu",KysymyksetTaulukko3[[#This Row],[Vastaus]]="Kyllä"),1,0)</f>
        <v>0</v>
      </c>
      <c r="U20" s="121">
        <f>IF(AND(KysymyksetTaulukko3[[#This Row],[Maksimipisteet]]=1,NOT(ISBLANK(KysymyksetTaulukko3[[#This Row],[Vastaus]]))),1,0)</f>
        <v>0</v>
      </c>
      <c r="V20" s="123">
        <f>IF(OR(KysymyksetTaulukko3[[#This Row],[Luokka + toimiala]]="Ei kuulu",KysymyksetTaulukko3[[#This Row],[Vastaus]]="Ei koske",KysymyksetTaulukko3[[#This Row],[Luokka]]="Extra",KysymyksetTaulukko3[[#This Row],[Otsikkorivi]]="Kyllä"),0,1)</f>
        <v>0</v>
      </c>
    </row>
    <row r="21" spans="1:22" ht="28.5" x14ac:dyDescent="0.25">
      <c r="A21" s="3">
        <v>3.4</v>
      </c>
      <c r="B21" s="3" t="str">
        <f>IF(ISNUMBER(SEARCH("," &amp; LV!$B$10 &amp; ",", "," &amp; SUBSTITUTE(A21, " ", "")&amp; ",")),
  "Kuuluu",
  IF(AND(LV!$B$10&gt;=2,
      LV!$B$10&lt;=4,
      OR(ISNUMBER(SEARCH("," &amp;(LV!$B$10+1)&amp; ",", "," &amp; SUBSTITUTE(A21, " ", "")&amp; ",")),
        ISNUMBER(SEARCH("," &amp;(LV!$B$10+2)&amp; ",", "," &amp; SUBSTITUTE(A21, " ", "")&amp; ",")),
        ISNUMBER(SEARCH("," &amp;(LV!$B$10+3)&amp; ",", "," &amp; SUBSTITUTE(A21, " ", "")&amp; ",")),
        ISNUMBER(SEARCH("," &amp;(LV!$B$10+4)&amp; ",", "," &amp; SUBSTITUTE(A21, " ", "")&amp; ",")),
        ISNUMBER(SEARCH("," &amp;(LV!$B$10+5)&amp; ",", "," &amp; SUBSTITUTE(A21, " ", "")&amp; ",")))),
    "Extra",
    "Ei kuulu"))</f>
        <v>Ei kuulu</v>
      </c>
      <c r="C21" s="3" t="s">
        <v>28</v>
      </c>
      <c r="D21" s="3" t="str">
        <f>IF(ISNUMBER(SEARCH(LV!$I$5, Kestävä_ja_kehittyvä!C21)), "K", "E")</f>
        <v>E</v>
      </c>
      <c r="E21" s="3" t="str">
        <f>IF(ISNUMBER(SEARCH(LV!$I$6, Kestävä_ja_kehittyvä!$C21)), "K", "E")</f>
        <v>E</v>
      </c>
      <c r="F21" s="3" t="str">
        <f>IF(ISNUMBER(SEARCH(LV!$I$7, Kestävä_ja_kehittyvä!$C21)), "K", "E")</f>
        <v>E</v>
      </c>
      <c r="G21" s="3" t="str">
        <f>IF(ISNUMBER(SEARCH(LV!$I$8, Kestävä_ja_kehittyvä!$C21)), "K", "E")</f>
        <v>E</v>
      </c>
      <c r="H21" s="3" t="str">
        <f>IF(OR(KysymyksetTaulukko3[[#This Row],[Toimiala A]]="K",KysymyksetTaulukko3[[#This Row],[Toimiala B]]="K",KysymyksetTaulukko3[[#This Row],[Toimiala C]]="K",KysymyksetTaulukko3[[#This Row],[Toimiala D]]="K"),"Kuuluu","Ei kuulu")</f>
        <v>Ei kuulu</v>
      </c>
      <c r="I21" s="3" t="str">
        <f>IF(OR(KysymyksetTaulukko3[[#This Row],[Luokka]]="Ei kuulu",KysymyksetTaulukko3[[#This Row],[Toimiala-
kysymys]]="Ei kuulu"), "Ei kuulu", "Kuuluu")</f>
        <v>Ei kuulu</v>
      </c>
      <c r="J21" s="3" t="str">
        <f>IF(KysymyksetTaulukko3[[#This Row],[Luokka + toimiala]]="Kuuluu","a) Oman vesilaitoksen kysymykset","b) Muut kysymykset")</f>
        <v>b) Muut kysymykset</v>
      </c>
      <c r="K21" s="9" t="s">
        <v>123</v>
      </c>
      <c r="L21" s="126" t="s">
        <v>135</v>
      </c>
      <c r="M21" s="61" t="str">
        <f>LEFT(KysymyksetTaulukko3[[#This Row],[Alakategoria_]],2)</f>
        <v>10</v>
      </c>
      <c r="N21" s="107"/>
      <c r="O21" s="70" t="s">
        <v>222</v>
      </c>
      <c r="P21" s="67" t="str">
        <f>IF(AND(KysymyksetTaulukko3[[#This Row],[Luokka]]="Extra",KysymyksetTaulukko3[[#This Row],[Luokka + toimiala]]="Kuuluu"),"Extra","")</f>
        <v/>
      </c>
      <c r="Q21" s="114"/>
      <c r="R21" s="64" t="s">
        <v>142</v>
      </c>
      <c r="S21" s="159"/>
      <c r="T21" s="123">
        <f>IF(AND(KysymyksetTaulukko3[[#This Row],[Luokka + toimiala]]="Kuuluu",KysymyksetTaulukko3[[#This Row],[Vastaus]]="Kyllä"),1,0)</f>
        <v>0</v>
      </c>
      <c r="U21" s="121">
        <f>IF(AND(KysymyksetTaulukko3[[#This Row],[Maksimipisteet]]=1,NOT(ISBLANK(KysymyksetTaulukko3[[#This Row],[Vastaus]]))),1,0)</f>
        <v>0</v>
      </c>
      <c r="V21" s="123">
        <f>IF(OR(KysymyksetTaulukko3[[#This Row],[Luokka + toimiala]]="Ei kuulu",KysymyksetTaulukko3[[#This Row],[Vastaus]]="Ei koske",KysymyksetTaulukko3[[#This Row],[Luokka]]="Extra",KysymyksetTaulukko3[[#This Row],[Otsikkorivi]]="Kyllä"),0,1)</f>
        <v>0</v>
      </c>
    </row>
    <row r="22" spans="1:22" ht="30" x14ac:dyDescent="0.25">
      <c r="A22" s="3">
        <v>3.4</v>
      </c>
      <c r="B22" s="3" t="str">
        <f>IF(ISNUMBER(SEARCH("," &amp; LV!$B$10 &amp; ",", "," &amp; SUBSTITUTE(A22, " ", "")&amp; ",")),
  "Kuuluu",
  IF(AND(LV!$B$10&gt;=2,
      LV!$B$10&lt;=4,
      OR(ISNUMBER(SEARCH("," &amp;(LV!$B$10+1)&amp; ",", "," &amp; SUBSTITUTE(A22, " ", "")&amp; ",")),
        ISNUMBER(SEARCH("," &amp;(LV!$B$10+2)&amp; ",", "," &amp; SUBSTITUTE(A22, " ", "")&amp; ",")),
        ISNUMBER(SEARCH("," &amp;(LV!$B$10+3)&amp; ",", "," &amp; SUBSTITUTE(A22, " ", "")&amp; ",")),
        ISNUMBER(SEARCH("," &amp;(LV!$B$10+4)&amp; ",", "," &amp; SUBSTITUTE(A22, " ", "")&amp; ",")),
        ISNUMBER(SEARCH("," &amp;(LV!$B$10+5)&amp; ",", "," &amp; SUBSTITUTE(A22, " ", "")&amp; ",")))),
    "Extra",
    "Ei kuulu"))</f>
        <v>Ei kuulu</v>
      </c>
      <c r="C22" s="3" t="s">
        <v>28</v>
      </c>
      <c r="D22" s="3" t="str">
        <f>IF(ISNUMBER(SEARCH(LV!$I$5, Kestävä_ja_kehittyvä!C22)), "K", "E")</f>
        <v>E</v>
      </c>
      <c r="E22" s="3" t="str">
        <f>IF(ISNUMBER(SEARCH(LV!$I$6, Kestävä_ja_kehittyvä!$C22)), "K", "E")</f>
        <v>E</v>
      </c>
      <c r="F22" s="3" t="str">
        <f>IF(ISNUMBER(SEARCH(LV!$I$7, Kestävä_ja_kehittyvä!$C22)), "K", "E")</f>
        <v>E</v>
      </c>
      <c r="G22" s="3" t="str">
        <f>IF(ISNUMBER(SEARCH(LV!$I$8, Kestävä_ja_kehittyvä!$C22)), "K", "E")</f>
        <v>E</v>
      </c>
      <c r="H22" s="3" t="str">
        <f>IF(OR(KysymyksetTaulukko3[[#This Row],[Toimiala A]]="K",KysymyksetTaulukko3[[#This Row],[Toimiala B]]="K",KysymyksetTaulukko3[[#This Row],[Toimiala C]]="K",KysymyksetTaulukko3[[#This Row],[Toimiala D]]="K"),"Kuuluu","Ei kuulu")</f>
        <v>Ei kuulu</v>
      </c>
      <c r="I22" s="3" t="str">
        <f>IF(OR(KysymyksetTaulukko3[[#This Row],[Luokka]]="Ei kuulu",KysymyksetTaulukko3[[#This Row],[Toimiala-
kysymys]]="Ei kuulu"), "Ei kuulu", "Kuuluu")</f>
        <v>Ei kuulu</v>
      </c>
      <c r="J22" s="3" t="str">
        <f>IF(KysymyksetTaulukko3[[#This Row],[Luokka + toimiala]]="Kuuluu","a) Oman vesilaitoksen kysymykset","b) Muut kysymykset")</f>
        <v>b) Muut kysymykset</v>
      </c>
      <c r="K22" s="9" t="s">
        <v>123</v>
      </c>
      <c r="L22" s="126" t="s">
        <v>135</v>
      </c>
      <c r="M22" s="61" t="str">
        <f>LEFT(KysymyksetTaulukko3[[#This Row],[Alakategoria_]],2)</f>
        <v>10</v>
      </c>
      <c r="N22" s="107"/>
      <c r="O22" s="70" t="s">
        <v>222</v>
      </c>
      <c r="P22" s="67" t="str">
        <f>IF(AND(KysymyksetTaulukko3[[#This Row],[Luokka]]="Extra",KysymyksetTaulukko3[[#This Row],[Luokka + toimiala]]="Kuuluu"),"Extra","")</f>
        <v/>
      </c>
      <c r="Q22" s="114"/>
      <c r="R22" s="64" t="s">
        <v>143</v>
      </c>
      <c r="S22" s="159"/>
      <c r="T22" s="123">
        <f>IF(AND(KysymyksetTaulukko3[[#This Row],[Luokka + toimiala]]="Kuuluu",KysymyksetTaulukko3[[#This Row],[Vastaus]]="Kyllä"),1,0)</f>
        <v>0</v>
      </c>
      <c r="U22" s="121">
        <f>IF(AND(KysymyksetTaulukko3[[#This Row],[Maksimipisteet]]=1,NOT(ISBLANK(KysymyksetTaulukko3[[#This Row],[Vastaus]]))),1,0)</f>
        <v>0</v>
      </c>
      <c r="V22" s="123">
        <f>IF(OR(KysymyksetTaulukko3[[#This Row],[Luokka + toimiala]]="Ei kuulu",KysymyksetTaulukko3[[#This Row],[Vastaus]]="Ei koske",KysymyksetTaulukko3[[#This Row],[Luokka]]="Extra",KysymyksetTaulukko3[[#This Row],[Otsikkorivi]]="Kyllä"),0,1)</f>
        <v>0</v>
      </c>
    </row>
    <row r="23" spans="1:22" ht="28.5" x14ac:dyDescent="0.25">
      <c r="A23" s="3">
        <v>4</v>
      </c>
      <c r="B23" s="3" t="str">
        <f>IF(ISNUMBER(SEARCH("," &amp; LV!$B$10 &amp; ",", "," &amp; SUBSTITUTE(A23, " ", "")&amp; ",")),
  "Kuuluu",
  IF(AND(LV!$B$10&gt;=2,
      LV!$B$10&lt;=4,
      OR(ISNUMBER(SEARCH("," &amp;(LV!$B$10+1)&amp; ",", "," &amp; SUBSTITUTE(A23, " ", "")&amp; ",")),
        ISNUMBER(SEARCH("," &amp;(LV!$B$10+2)&amp; ",", "," &amp; SUBSTITUTE(A23, " ", "")&amp; ",")),
        ISNUMBER(SEARCH("," &amp;(LV!$B$10+3)&amp; ",", "," &amp; SUBSTITUTE(A23, " ", "")&amp; ",")),
        ISNUMBER(SEARCH("," &amp;(LV!$B$10+4)&amp; ",", "," &amp; SUBSTITUTE(A23, " ", "")&amp; ",")),
        ISNUMBER(SEARCH("," &amp;(LV!$B$10+5)&amp; ",", "," &amp; SUBSTITUTE(A23, " ", "")&amp; ",")))),
    "Extra",
    "Ei kuulu"))</f>
        <v>Ei kuulu</v>
      </c>
      <c r="C23" s="3" t="s">
        <v>129</v>
      </c>
      <c r="D23" s="3" t="str">
        <f>IF(ISNUMBER(SEARCH(LV!$I$5, Kestävä_ja_kehittyvä!C23)), "K", "E")</f>
        <v>E</v>
      </c>
      <c r="E23" s="3" t="str">
        <f>IF(ISNUMBER(SEARCH(LV!$I$6, Kestävä_ja_kehittyvä!$C23)), "K", "E")</f>
        <v>E</v>
      </c>
      <c r="F23" s="3" t="str">
        <f>IF(ISNUMBER(SEARCH(LV!$I$7, Kestävä_ja_kehittyvä!$C23)), "K", "E")</f>
        <v>E</v>
      </c>
      <c r="G23" s="3" t="str">
        <f>IF(ISNUMBER(SEARCH(LV!$I$8, Kestävä_ja_kehittyvä!$C23)), "K", "E")</f>
        <v>E</v>
      </c>
      <c r="H23" s="3" t="str">
        <f>IF(OR(KysymyksetTaulukko3[[#This Row],[Toimiala A]]="K",KysymyksetTaulukko3[[#This Row],[Toimiala B]]="K",KysymyksetTaulukko3[[#This Row],[Toimiala C]]="K",KysymyksetTaulukko3[[#This Row],[Toimiala D]]="K"),"Kuuluu","Ei kuulu")</f>
        <v>Ei kuulu</v>
      </c>
      <c r="I23" s="3" t="str">
        <f>IF(OR(KysymyksetTaulukko3[[#This Row],[Luokka]]="Ei kuulu",KysymyksetTaulukko3[[#This Row],[Toimiala-
kysymys]]="Ei kuulu"), "Ei kuulu", "Kuuluu")</f>
        <v>Ei kuulu</v>
      </c>
      <c r="J23" s="3" t="str">
        <f>IF(KysymyksetTaulukko3[[#This Row],[Luokka + toimiala]]="Kuuluu","a) Oman vesilaitoksen kysymykset","b) Muut kysymykset")</f>
        <v>b) Muut kysymykset</v>
      </c>
      <c r="K23" s="9" t="s">
        <v>123</v>
      </c>
      <c r="L23" s="126" t="s">
        <v>135</v>
      </c>
      <c r="M23" s="61" t="str">
        <f>LEFT(KysymyksetTaulukko3[[#This Row],[Alakategoria_]],2)</f>
        <v>10</v>
      </c>
      <c r="N23" s="107"/>
      <c r="O23" s="70" t="s">
        <v>222</v>
      </c>
      <c r="P23" s="67" t="str">
        <f>IF(AND(KysymyksetTaulukko3[[#This Row],[Luokka]]="Extra",KysymyksetTaulukko3[[#This Row],[Luokka + toimiala]]="Kuuluu"),"Extra","")</f>
        <v/>
      </c>
      <c r="Q23" s="114"/>
      <c r="R23" s="64" t="s">
        <v>144</v>
      </c>
      <c r="S23" s="159"/>
      <c r="T23" s="123">
        <f>IF(AND(KysymyksetTaulukko3[[#This Row],[Luokka + toimiala]]="Kuuluu",KysymyksetTaulukko3[[#This Row],[Vastaus]]="Kyllä"),1,0)</f>
        <v>0</v>
      </c>
      <c r="U23" s="121">
        <f>IF(AND(KysymyksetTaulukko3[[#This Row],[Maksimipisteet]]=1,NOT(ISBLANK(KysymyksetTaulukko3[[#This Row],[Vastaus]]))),1,0)</f>
        <v>0</v>
      </c>
      <c r="V23" s="123">
        <f>IF(OR(KysymyksetTaulukko3[[#This Row],[Luokka + toimiala]]="Ei kuulu",KysymyksetTaulukko3[[#This Row],[Vastaus]]="Ei koske",KysymyksetTaulukko3[[#This Row],[Luokka]]="Extra",KysymyksetTaulukko3[[#This Row],[Otsikkorivi]]="Kyllä"),0,1)</f>
        <v>0</v>
      </c>
    </row>
    <row r="24" spans="1:22" ht="28.5" x14ac:dyDescent="0.25">
      <c r="A24" s="3">
        <v>5</v>
      </c>
      <c r="B24" s="3" t="str">
        <f>IF(ISNUMBER(SEARCH("," &amp; LV!$B$10 &amp; ",", "," &amp; SUBSTITUTE(A24, " ", "")&amp; ",")),
  "Kuuluu",
  IF(AND(LV!$B$10&gt;=2,
      LV!$B$10&lt;=4,
      OR(ISNUMBER(SEARCH("," &amp;(LV!$B$10+1)&amp; ",", "," &amp; SUBSTITUTE(A24, " ", "")&amp; ",")),
        ISNUMBER(SEARCH("," &amp;(LV!$B$10+2)&amp; ",", "," &amp; SUBSTITUTE(A24, " ", "")&amp; ",")),
        ISNUMBER(SEARCH("," &amp;(LV!$B$10+3)&amp; ",", "," &amp; SUBSTITUTE(A24, " ", "")&amp; ",")),
        ISNUMBER(SEARCH("," &amp;(LV!$B$10+4)&amp; ",", "," &amp; SUBSTITUTE(A24, " ", "")&amp; ",")),
        ISNUMBER(SEARCH("," &amp;(LV!$B$10+5)&amp; ",", "," &amp; SUBSTITUTE(A24, " ", "")&amp; ",")))),
    "Extra",
    "Ei kuulu"))</f>
        <v>Ei kuulu</v>
      </c>
      <c r="C24" s="3" t="s">
        <v>28</v>
      </c>
      <c r="D24" s="3" t="str">
        <f>IF(ISNUMBER(SEARCH(LV!$I$5, Kestävä_ja_kehittyvä!C24)), "K", "E")</f>
        <v>E</v>
      </c>
      <c r="E24" s="3" t="str">
        <f>IF(ISNUMBER(SEARCH(LV!$I$6, Kestävä_ja_kehittyvä!$C24)), "K", "E")</f>
        <v>E</v>
      </c>
      <c r="F24" s="3" t="str">
        <f>IF(ISNUMBER(SEARCH(LV!$I$7, Kestävä_ja_kehittyvä!$C24)), "K", "E")</f>
        <v>E</v>
      </c>
      <c r="G24" s="3" t="str">
        <f>IF(ISNUMBER(SEARCH(LV!$I$8, Kestävä_ja_kehittyvä!$C24)), "K", "E")</f>
        <v>E</v>
      </c>
      <c r="H24" s="3" t="str">
        <f>IF(OR(KysymyksetTaulukko3[[#This Row],[Toimiala A]]="K",KysymyksetTaulukko3[[#This Row],[Toimiala B]]="K",KysymyksetTaulukko3[[#This Row],[Toimiala C]]="K",KysymyksetTaulukko3[[#This Row],[Toimiala D]]="K"),"Kuuluu","Ei kuulu")</f>
        <v>Ei kuulu</v>
      </c>
      <c r="I24" s="3" t="str">
        <f>IF(OR(KysymyksetTaulukko3[[#This Row],[Luokka]]="Ei kuulu",KysymyksetTaulukko3[[#This Row],[Toimiala-
kysymys]]="Ei kuulu"), "Ei kuulu", "Kuuluu")</f>
        <v>Ei kuulu</v>
      </c>
      <c r="J24" s="3" t="str">
        <f>IF(KysymyksetTaulukko3[[#This Row],[Luokka + toimiala]]="Kuuluu","a) Oman vesilaitoksen kysymykset","b) Muut kysymykset")</f>
        <v>b) Muut kysymykset</v>
      </c>
      <c r="K24" s="9" t="s">
        <v>123</v>
      </c>
      <c r="L24" s="126" t="s">
        <v>135</v>
      </c>
      <c r="M24" s="61" t="str">
        <f>LEFT(KysymyksetTaulukko3[[#This Row],[Alakategoria_]],2)</f>
        <v>10</v>
      </c>
      <c r="N24" s="107"/>
      <c r="O24" s="70" t="s">
        <v>222</v>
      </c>
      <c r="P24" s="67" t="str">
        <f>IF(AND(KysymyksetTaulukko3[[#This Row],[Luokka]]="Extra",KysymyksetTaulukko3[[#This Row],[Luokka + toimiala]]="Kuuluu"),"Extra","")</f>
        <v/>
      </c>
      <c r="Q24" s="114"/>
      <c r="R24" s="64" t="s">
        <v>145</v>
      </c>
      <c r="S24" s="159"/>
      <c r="T24" s="123">
        <f>IF(AND(KysymyksetTaulukko3[[#This Row],[Luokka + toimiala]]="Kuuluu",KysymyksetTaulukko3[[#This Row],[Vastaus]]="Kyllä"),1,0)</f>
        <v>0</v>
      </c>
      <c r="U24" s="121">
        <f>IF(AND(KysymyksetTaulukko3[[#This Row],[Maksimipisteet]]=1,NOT(ISBLANK(KysymyksetTaulukko3[[#This Row],[Vastaus]]))),1,0)</f>
        <v>0</v>
      </c>
      <c r="V24" s="123">
        <f>IF(OR(KysymyksetTaulukko3[[#This Row],[Luokka + toimiala]]="Ei kuulu",KysymyksetTaulukko3[[#This Row],[Vastaus]]="Ei koske",KysymyksetTaulukko3[[#This Row],[Luokka]]="Extra",KysymyksetTaulukko3[[#This Row],[Otsikkorivi]]="Kyllä"),0,1)</f>
        <v>0</v>
      </c>
    </row>
    <row r="25" spans="1:22" ht="28.5" x14ac:dyDescent="0.25">
      <c r="A25" s="3">
        <v>5</v>
      </c>
      <c r="B25" s="3" t="str">
        <f>IF(ISNUMBER(SEARCH("," &amp; LV!$B$10 &amp; ",", "," &amp; SUBSTITUTE(A25, " ", "")&amp; ",")),
  "Kuuluu",
  IF(AND(LV!$B$10&gt;=2,
      LV!$B$10&lt;=4,
      OR(ISNUMBER(SEARCH("," &amp;(LV!$B$10+1)&amp; ",", "," &amp; SUBSTITUTE(A25, " ", "")&amp; ",")),
        ISNUMBER(SEARCH("," &amp;(LV!$B$10+2)&amp; ",", "," &amp; SUBSTITUTE(A25, " ", "")&amp; ",")),
        ISNUMBER(SEARCH("," &amp;(LV!$B$10+3)&amp; ",", "," &amp; SUBSTITUTE(A25, " ", "")&amp; ",")),
        ISNUMBER(SEARCH("," &amp;(LV!$B$10+4)&amp; ",", "," &amp; SUBSTITUTE(A25, " ", "")&amp; ",")),
        ISNUMBER(SEARCH("," &amp;(LV!$B$10+5)&amp; ",", "," &amp; SUBSTITUTE(A25, " ", "")&amp; ",")))),
    "Extra",
    "Ei kuulu"))</f>
        <v>Ei kuulu</v>
      </c>
      <c r="C25" s="3" t="s">
        <v>28</v>
      </c>
      <c r="D25" s="3" t="str">
        <f>IF(ISNUMBER(SEARCH(LV!$I$5, Kestävä_ja_kehittyvä!C25)), "K", "E")</f>
        <v>E</v>
      </c>
      <c r="E25" s="3" t="str">
        <f>IF(ISNUMBER(SEARCH(LV!$I$6, Kestävä_ja_kehittyvä!$C25)), "K", "E")</f>
        <v>E</v>
      </c>
      <c r="F25" s="3" t="str">
        <f>IF(ISNUMBER(SEARCH(LV!$I$7, Kestävä_ja_kehittyvä!$C25)), "K", "E")</f>
        <v>E</v>
      </c>
      <c r="G25" s="3" t="str">
        <f>IF(ISNUMBER(SEARCH(LV!$I$8, Kestävä_ja_kehittyvä!$C25)), "K", "E")</f>
        <v>E</v>
      </c>
      <c r="H25" s="3" t="str">
        <f>IF(OR(KysymyksetTaulukko3[[#This Row],[Toimiala A]]="K",KysymyksetTaulukko3[[#This Row],[Toimiala B]]="K",KysymyksetTaulukko3[[#This Row],[Toimiala C]]="K",KysymyksetTaulukko3[[#This Row],[Toimiala D]]="K"),"Kuuluu","Ei kuulu")</f>
        <v>Ei kuulu</v>
      </c>
      <c r="I25" s="3" t="str">
        <f>IF(OR(KysymyksetTaulukko3[[#This Row],[Luokka]]="Ei kuulu",KysymyksetTaulukko3[[#This Row],[Toimiala-
kysymys]]="Ei kuulu"), "Ei kuulu", "Kuuluu")</f>
        <v>Ei kuulu</v>
      </c>
      <c r="J25" s="3" t="str">
        <f>IF(KysymyksetTaulukko3[[#This Row],[Luokka + toimiala]]="Kuuluu","a) Oman vesilaitoksen kysymykset","b) Muut kysymykset")</f>
        <v>b) Muut kysymykset</v>
      </c>
      <c r="K25" s="9" t="s">
        <v>123</v>
      </c>
      <c r="L25" s="126" t="s">
        <v>135</v>
      </c>
      <c r="M25" s="61" t="str">
        <f>LEFT(KysymyksetTaulukko3[[#This Row],[Alakategoria_]],2)</f>
        <v>10</v>
      </c>
      <c r="N25" s="107"/>
      <c r="O25" s="70" t="s">
        <v>222</v>
      </c>
      <c r="P25" s="67" t="str">
        <f>IF(AND(KysymyksetTaulukko3[[#This Row],[Luokka]]="Extra",KysymyksetTaulukko3[[#This Row],[Luokka + toimiala]]="Kuuluu"),"Extra","")</f>
        <v/>
      </c>
      <c r="Q25" s="114"/>
      <c r="R25" s="64" t="s">
        <v>146</v>
      </c>
      <c r="S25" s="159"/>
      <c r="T25" s="123">
        <f>IF(AND(KysymyksetTaulukko3[[#This Row],[Luokka + toimiala]]="Kuuluu",KysymyksetTaulukko3[[#This Row],[Vastaus]]="Kyllä"),1,0)</f>
        <v>0</v>
      </c>
      <c r="U25" s="121">
        <f>IF(AND(KysymyksetTaulukko3[[#This Row],[Maksimipisteet]]=1,NOT(ISBLANK(KysymyksetTaulukko3[[#This Row],[Vastaus]]))),1,0)</f>
        <v>0</v>
      </c>
      <c r="V25" s="123">
        <f>IF(OR(KysymyksetTaulukko3[[#This Row],[Luokka + toimiala]]="Ei kuulu",KysymyksetTaulukko3[[#This Row],[Vastaus]]="Ei koske",KysymyksetTaulukko3[[#This Row],[Luokka]]="Extra",KysymyksetTaulukko3[[#This Row],[Otsikkorivi]]="Kyllä"),0,1)</f>
        <v>0</v>
      </c>
    </row>
    <row r="26" spans="1:22" ht="28.5" x14ac:dyDescent="0.25">
      <c r="A26" s="3">
        <v>5</v>
      </c>
      <c r="B26" s="3" t="str">
        <f>IF(ISNUMBER(SEARCH("," &amp; LV!$B$10 &amp; ",", "," &amp; SUBSTITUTE(A26, " ", "")&amp; ",")),
  "Kuuluu",
  IF(AND(LV!$B$10&gt;=2,
      LV!$B$10&lt;=4,
      OR(ISNUMBER(SEARCH("," &amp;(LV!$B$10+1)&amp; ",", "," &amp; SUBSTITUTE(A26, " ", "")&amp; ",")),
        ISNUMBER(SEARCH("," &amp;(LV!$B$10+2)&amp; ",", "," &amp; SUBSTITUTE(A26, " ", "")&amp; ",")),
        ISNUMBER(SEARCH("," &amp;(LV!$B$10+3)&amp; ",", "," &amp; SUBSTITUTE(A26, " ", "")&amp; ",")),
        ISNUMBER(SEARCH("," &amp;(LV!$B$10+4)&amp; ",", "," &amp; SUBSTITUTE(A26, " ", "")&amp; ",")),
        ISNUMBER(SEARCH("," &amp;(LV!$B$10+5)&amp; ",", "," &amp; SUBSTITUTE(A26, " ", "")&amp; ",")))),
    "Extra",
    "Ei kuulu"))</f>
        <v>Ei kuulu</v>
      </c>
      <c r="C26" s="3" t="s">
        <v>28</v>
      </c>
      <c r="D26" s="3" t="str">
        <f>IF(ISNUMBER(SEARCH(LV!$I$5, Kestävä_ja_kehittyvä!C26)), "K", "E")</f>
        <v>E</v>
      </c>
      <c r="E26" s="3" t="str">
        <f>IF(ISNUMBER(SEARCH(LV!$I$6, Kestävä_ja_kehittyvä!$C26)), "K", "E")</f>
        <v>E</v>
      </c>
      <c r="F26" s="3" t="str">
        <f>IF(ISNUMBER(SEARCH(LV!$I$7, Kestävä_ja_kehittyvä!$C26)), "K", "E")</f>
        <v>E</v>
      </c>
      <c r="G26" s="3" t="str">
        <f>IF(ISNUMBER(SEARCH(LV!$I$8, Kestävä_ja_kehittyvä!$C26)), "K", "E")</f>
        <v>E</v>
      </c>
      <c r="H26" s="3" t="str">
        <f>IF(OR(KysymyksetTaulukko3[[#This Row],[Toimiala A]]="K",KysymyksetTaulukko3[[#This Row],[Toimiala B]]="K",KysymyksetTaulukko3[[#This Row],[Toimiala C]]="K",KysymyksetTaulukko3[[#This Row],[Toimiala D]]="K"),"Kuuluu","Ei kuulu")</f>
        <v>Ei kuulu</v>
      </c>
      <c r="I26" s="3" t="str">
        <f>IF(OR(KysymyksetTaulukko3[[#This Row],[Luokka]]="Ei kuulu",KysymyksetTaulukko3[[#This Row],[Toimiala-
kysymys]]="Ei kuulu"), "Ei kuulu", "Kuuluu")</f>
        <v>Ei kuulu</v>
      </c>
      <c r="J26" s="3" t="str">
        <f>IF(KysymyksetTaulukko3[[#This Row],[Luokka + toimiala]]="Kuuluu","a) Oman vesilaitoksen kysymykset","b) Muut kysymykset")</f>
        <v>b) Muut kysymykset</v>
      </c>
      <c r="K26" s="9" t="s">
        <v>123</v>
      </c>
      <c r="L26" s="126" t="s">
        <v>135</v>
      </c>
      <c r="M26" s="61" t="str">
        <f>LEFT(KysymyksetTaulukko3[[#This Row],[Alakategoria_]],2)</f>
        <v>10</v>
      </c>
      <c r="N26" s="107"/>
      <c r="O26" s="70" t="s">
        <v>222</v>
      </c>
      <c r="P26" s="67" t="str">
        <f>IF(AND(KysymyksetTaulukko3[[#This Row],[Luokka]]="Extra",KysymyksetTaulukko3[[#This Row],[Luokka + toimiala]]="Kuuluu"),"Extra","")</f>
        <v/>
      </c>
      <c r="Q26" s="114"/>
      <c r="R26" s="64" t="s">
        <v>147</v>
      </c>
      <c r="S26" s="159"/>
      <c r="T26" s="123">
        <f>IF(AND(KysymyksetTaulukko3[[#This Row],[Luokka + toimiala]]="Kuuluu",KysymyksetTaulukko3[[#This Row],[Vastaus]]="Kyllä"),1,0)</f>
        <v>0</v>
      </c>
      <c r="U26" s="121">
        <f>IF(AND(KysymyksetTaulukko3[[#This Row],[Maksimipisteet]]=1,NOT(ISBLANK(KysymyksetTaulukko3[[#This Row],[Vastaus]]))),1,0)</f>
        <v>0</v>
      </c>
      <c r="V26" s="123">
        <f>IF(OR(KysymyksetTaulukko3[[#This Row],[Luokka + toimiala]]="Ei kuulu",KysymyksetTaulukko3[[#This Row],[Vastaus]]="Ei koske",KysymyksetTaulukko3[[#This Row],[Luokka]]="Extra",KysymyksetTaulukko3[[#This Row],[Otsikkorivi]]="Kyllä"),0,1)</f>
        <v>0</v>
      </c>
    </row>
    <row r="27" spans="1:22" ht="28.5" x14ac:dyDescent="0.25">
      <c r="A27" s="3" t="s">
        <v>6</v>
      </c>
      <c r="B27" s="3" t="str">
        <f>IF(ISNUMBER(SEARCH("," &amp; LV!$B$10 &amp; ",", "," &amp; SUBSTITUTE(A27, " ", "")&amp; ",")),
  "Kuuluu",
  IF(AND(LV!$B$10&gt;=2,
      LV!$B$10&lt;=4,
      OR(ISNUMBER(SEARCH("," &amp;(LV!$B$10+1)&amp; ",", "," &amp; SUBSTITUTE(A27, " ", "")&amp; ",")),
        ISNUMBER(SEARCH("," &amp;(LV!$B$10+2)&amp; ",", "," &amp; SUBSTITUTE(A27, " ", "")&amp; ",")),
        ISNUMBER(SEARCH("," &amp;(LV!$B$10+3)&amp; ",", "," &amp; SUBSTITUTE(A27, " ", "")&amp; ",")),
        ISNUMBER(SEARCH("," &amp;(LV!$B$10+4)&amp; ",", "," &amp; SUBSTITUTE(A27, " ", "")&amp; ",")),
        ISNUMBER(SEARCH("," &amp;(LV!$B$10+5)&amp; ",", "," &amp; SUBSTITUTE(A27, " ", "")&amp; ",")))),
    "Extra",
    "Ei kuulu"))</f>
        <v>Ei kuulu</v>
      </c>
      <c r="C27" s="3" t="s">
        <v>28</v>
      </c>
      <c r="D27" s="3" t="str">
        <f>IF(ISNUMBER(SEARCH(LV!$I$5, Kestävä_ja_kehittyvä!C27)), "K", "E")</f>
        <v>E</v>
      </c>
      <c r="E27" s="3" t="str">
        <f>IF(ISNUMBER(SEARCH(LV!$I$6, Kestävä_ja_kehittyvä!$C27)), "K", "E")</f>
        <v>E</v>
      </c>
      <c r="F27" s="3" t="str">
        <f>IF(ISNUMBER(SEARCH(LV!$I$7, Kestävä_ja_kehittyvä!$C27)), "K", "E")</f>
        <v>E</v>
      </c>
      <c r="G27" s="3" t="str">
        <f>IF(ISNUMBER(SEARCH(LV!$I$8, Kestävä_ja_kehittyvä!$C27)), "K", "E")</f>
        <v>E</v>
      </c>
      <c r="H27" s="3" t="str">
        <f>IF(OR(KysymyksetTaulukko3[[#This Row],[Toimiala A]]="K",KysymyksetTaulukko3[[#This Row],[Toimiala B]]="K",KysymyksetTaulukko3[[#This Row],[Toimiala C]]="K",KysymyksetTaulukko3[[#This Row],[Toimiala D]]="K"),"Kuuluu","Ei kuulu")</f>
        <v>Ei kuulu</v>
      </c>
      <c r="I27" s="3" t="str">
        <f>IF(OR(KysymyksetTaulukko3[[#This Row],[Luokka]]="Ei kuulu",KysymyksetTaulukko3[[#This Row],[Toimiala-
kysymys]]="Ei kuulu"), "Ei kuulu", "Kuuluu")</f>
        <v>Ei kuulu</v>
      </c>
      <c r="J27" s="3" t="str">
        <f>IF(KysymyksetTaulukko3[[#This Row],[Luokka + toimiala]]="Kuuluu","a) Oman vesilaitoksen kysymykset","b) Muut kysymykset")</f>
        <v>b) Muut kysymykset</v>
      </c>
      <c r="K27" s="9" t="s">
        <v>123</v>
      </c>
      <c r="L27" s="9" t="s">
        <v>241</v>
      </c>
      <c r="M27" s="61" t="str">
        <f>LEFT(KysymyksetTaulukko3[[#This Row],[Alakategoria_]],2)</f>
        <v>_O</v>
      </c>
      <c r="N27" s="107"/>
      <c r="O27" s="70"/>
      <c r="P27" s="67" t="str">
        <f>IF(AND(KysymyksetTaulukko3[[#This Row],[Luokka]]="Extra",KysymyksetTaulukko3[[#This Row],[Luokka + toimiala]]="Kuuluu"),"Extra","")</f>
        <v/>
      </c>
      <c r="Q27" s="114" t="s">
        <v>177</v>
      </c>
      <c r="R27" s="128" t="s">
        <v>148</v>
      </c>
      <c r="S27" s="158"/>
      <c r="T27" s="123">
        <f>IF(AND(KysymyksetTaulukko3[[#This Row],[Luokka + toimiala]]="Kuuluu",KysymyksetTaulukko3[[#This Row],[Vastaus]]="Kyllä"),1,0)</f>
        <v>0</v>
      </c>
      <c r="U27" s="121">
        <f>IF(AND(KysymyksetTaulukko3[[#This Row],[Maksimipisteet]]=1,NOT(ISBLANK(KysymyksetTaulukko3[[#This Row],[Vastaus]]))),1,0)</f>
        <v>0</v>
      </c>
      <c r="V27" s="123">
        <f>IF(OR(KysymyksetTaulukko3[[#This Row],[Luokka + toimiala]]="Ei kuulu",KysymyksetTaulukko3[[#This Row],[Vastaus]]="Ei koske",KysymyksetTaulukko3[[#This Row],[Luokka]]="Extra",KysymyksetTaulukko3[[#This Row],[Otsikkorivi]]="Kyllä"),0,1)</f>
        <v>0</v>
      </c>
    </row>
    <row r="28" spans="1:22" ht="28.5" x14ac:dyDescent="0.25">
      <c r="A28" s="3" t="s">
        <v>12</v>
      </c>
      <c r="B28" s="3" t="str">
        <f>IF(ISNUMBER(SEARCH("," &amp; LV!$B$10 &amp; ",", "," &amp; SUBSTITUTE(A28, " ", "")&amp; ",")),
  "Kuuluu",
  IF(AND(LV!$B$10&gt;=2,
      LV!$B$10&lt;=4,
      OR(ISNUMBER(SEARCH("," &amp;(LV!$B$10+1)&amp; ",", "," &amp; SUBSTITUTE(A28, " ", "")&amp; ",")),
        ISNUMBER(SEARCH("," &amp;(LV!$B$10+2)&amp; ",", "," &amp; SUBSTITUTE(A28, " ", "")&amp; ",")),
        ISNUMBER(SEARCH("," &amp;(LV!$B$10+3)&amp; ",", "," &amp; SUBSTITUTE(A28, " ", "")&amp; ",")),
        ISNUMBER(SEARCH("," &amp;(LV!$B$10+4)&amp; ",", "," &amp; SUBSTITUTE(A28, " ", "")&amp; ",")),
        ISNUMBER(SEARCH("," &amp;(LV!$B$10+5)&amp; ",", "," &amp; SUBSTITUTE(A28, " ", "")&amp; ",")))),
    "Extra",
    "Ei kuulu"))</f>
        <v>Ei kuulu</v>
      </c>
      <c r="C28" s="3" t="s">
        <v>44</v>
      </c>
      <c r="D28" s="3" t="str">
        <f>IF(ISNUMBER(SEARCH(LV!$I$5, Kestävä_ja_kehittyvä!C28)), "K", "E")</f>
        <v>E</v>
      </c>
      <c r="E28" s="3" t="str">
        <f>IF(ISNUMBER(SEARCH(LV!$I$6, Kestävä_ja_kehittyvä!$C28)), "K", "E")</f>
        <v>E</v>
      </c>
      <c r="F28" s="3" t="str">
        <f>IF(ISNUMBER(SEARCH(LV!$I$7, Kestävä_ja_kehittyvä!$C28)), "K", "E")</f>
        <v>E</v>
      </c>
      <c r="G28" s="3" t="str">
        <f>IF(ISNUMBER(SEARCH(LV!$I$8, Kestävä_ja_kehittyvä!$C28)), "K", "E")</f>
        <v>E</v>
      </c>
      <c r="H28" s="3" t="str">
        <f>IF(OR(KysymyksetTaulukko3[[#This Row],[Toimiala A]]="K",KysymyksetTaulukko3[[#This Row],[Toimiala B]]="K",KysymyksetTaulukko3[[#This Row],[Toimiala C]]="K",KysymyksetTaulukko3[[#This Row],[Toimiala D]]="K"),"Kuuluu","Ei kuulu")</f>
        <v>Ei kuulu</v>
      </c>
      <c r="I28" s="3" t="str">
        <f>IF(OR(KysymyksetTaulukko3[[#This Row],[Luokka]]="Ei kuulu",KysymyksetTaulukko3[[#This Row],[Toimiala-
kysymys]]="Ei kuulu"), "Ei kuulu", "Kuuluu")</f>
        <v>Ei kuulu</v>
      </c>
      <c r="J28" s="3" t="str">
        <f>IF(KysymyksetTaulukko3[[#This Row],[Luokka + toimiala]]="Kuuluu","a) Oman vesilaitoksen kysymykset","b) Muut kysymykset")</f>
        <v>b) Muut kysymykset</v>
      </c>
      <c r="K28" s="9" t="s">
        <v>123</v>
      </c>
      <c r="L28" s="9" t="s">
        <v>148</v>
      </c>
      <c r="M28" s="61" t="str">
        <f>LEFT(KysymyksetTaulukko3[[#This Row],[Alakategoria_]],2)</f>
        <v>11</v>
      </c>
      <c r="N28" s="107"/>
      <c r="O28" s="70" t="s">
        <v>222</v>
      </c>
      <c r="P28" s="67" t="str">
        <f>IF(AND(KysymyksetTaulukko3[[#This Row],[Luokka]]="Extra",KysymyksetTaulukko3[[#This Row],[Luokka + toimiala]]="Kuuluu"),"Extra","")</f>
        <v/>
      </c>
      <c r="Q28" s="114"/>
      <c r="R28" s="64" t="s">
        <v>149</v>
      </c>
      <c r="S28" s="159"/>
      <c r="T28" s="123">
        <f>IF(AND(KysymyksetTaulukko3[[#This Row],[Luokka + toimiala]]="Kuuluu",KysymyksetTaulukko3[[#This Row],[Vastaus]]="Kyllä"),1,0)</f>
        <v>0</v>
      </c>
      <c r="U28" s="121">
        <f>IF(AND(KysymyksetTaulukko3[[#This Row],[Maksimipisteet]]=1,NOT(ISBLANK(KysymyksetTaulukko3[[#This Row],[Vastaus]]))),1,0)</f>
        <v>0</v>
      </c>
      <c r="V28" s="123">
        <f>IF(OR(KysymyksetTaulukko3[[#This Row],[Luokka + toimiala]]="Ei kuulu",KysymyksetTaulukko3[[#This Row],[Vastaus]]="Ei koske",KysymyksetTaulukko3[[#This Row],[Luokka]]="Extra",KysymyksetTaulukko3[[#This Row],[Otsikkorivi]]="Kyllä"),0,1)</f>
        <v>0</v>
      </c>
    </row>
    <row r="29" spans="1:22" ht="28.5" x14ac:dyDescent="0.25">
      <c r="A29" s="3" t="s">
        <v>12</v>
      </c>
      <c r="B29" s="3" t="str">
        <f>IF(ISNUMBER(SEARCH("," &amp; LV!$B$10 &amp; ",", "," &amp; SUBSTITUTE(A29, " ", "")&amp; ",")),
  "Kuuluu",
  IF(AND(LV!$B$10&gt;=2,
      LV!$B$10&lt;=4,
      OR(ISNUMBER(SEARCH("," &amp;(LV!$B$10+1)&amp; ",", "," &amp; SUBSTITUTE(A29, " ", "")&amp; ",")),
        ISNUMBER(SEARCH("," &amp;(LV!$B$10+2)&amp; ",", "," &amp; SUBSTITUTE(A29, " ", "")&amp; ",")),
        ISNUMBER(SEARCH("," &amp;(LV!$B$10+3)&amp; ",", "," &amp; SUBSTITUTE(A29, " ", "")&amp; ",")),
        ISNUMBER(SEARCH("," &amp;(LV!$B$10+4)&amp; ",", "," &amp; SUBSTITUTE(A29, " ", "")&amp; ",")),
        ISNUMBER(SEARCH("," &amp;(LV!$B$10+5)&amp; ",", "," &amp; SUBSTITUTE(A29, " ", "")&amp; ",")))),
    "Extra",
    "Ei kuulu"))</f>
        <v>Ei kuulu</v>
      </c>
      <c r="C29" s="3" t="s">
        <v>28</v>
      </c>
      <c r="D29" s="3" t="str">
        <f>IF(ISNUMBER(SEARCH(LV!$I$5, Kestävä_ja_kehittyvä!C29)), "K", "E")</f>
        <v>E</v>
      </c>
      <c r="E29" s="3" t="str">
        <f>IF(ISNUMBER(SEARCH(LV!$I$6, Kestävä_ja_kehittyvä!$C29)), "K", "E")</f>
        <v>E</v>
      </c>
      <c r="F29" s="3" t="str">
        <f>IF(ISNUMBER(SEARCH(LV!$I$7, Kestävä_ja_kehittyvä!$C29)), "K", "E")</f>
        <v>E</v>
      </c>
      <c r="G29" s="3" t="str">
        <f>IF(ISNUMBER(SEARCH(LV!$I$8, Kestävä_ja_kehittyvä!$C29)), "K", "E")</f>
        <v>E</v>
      </c>
      <c r="H29" s="3" t="str">
        <f>IF(OR(KysymyksetTaulukko3[[#This Row],[Toimiala A]]="K",KysymyksetTaulukko3[[#This Row],[Toimiala B]]="K",KysymyksetTaulukko3[[#This Row],[Toimiala C]]="K",KysymyksetTaulukko3[[#This Row],[Toimiala D]]="K"),"Kuuluu","Ei kuulu")</f>
        <v>Ei kuulu</v>
      </c>
      <c r="I29" s="3" t="str">
        <f>IF(OR(KysymyksetTaulukko3[[#This Row],[Luokka]]="Ei kuulu",KysymyksetTaulukko3[[#This Row],[Toimiala-
kysymys]]="Ei kuulu"), "Ei kuulu", "Kuuluu")</f>
        <v>Ei kuulu</v>
      </c>
      <c r="J29" s="3" t="str">
        <f>IF(KysymyksetTaulukko3[[#This Row],[Luokka + toimiala]]="Kuuluu","a) Oman vesilaitoksen kysymykset","b) Muut kysymykset")</f>
        <v>b) Muut kysymykset</v>
      </c>
      <c r="K29" s="9" t="s">
        <v>123</v>
      </c>
      <c r="L29" s="9" t="s">
        <v>148</v>
      </c>
      <c r="M29" s="61" t="str">
        <f>LEFT(KysymyksetTaulukko3[[#This Row],[Alakategoria_]],2)</f>
        <v>11</v>
      </c>
      <c r="N29" s="107"/>
      <c r="O29" s="70" t="s">
        <v>222</v>
      </c>
      <c r="P29" s="67" t="str">
        <f>IF(AND(KysymyksetTaulukko3[[#This Row],[Luokka]]="Extra",KysymyksetTaulukko3[[#This Row],[Luokka + toimiala]]="Kuuluu"),"Extra","")</f>
        <v/>
      </c>
      <c r="Q29" s="114"/>
      <c r="R29" s="64" t="s">
        <v>150</v>
      </c>
      <c r="S29" s="159"/>
      <c r="T29" s="123">
        <f>IF(AND(KysymyksetTaulukko3[[#This Row],[Luokka + toimiala]]="Kuuluu",KysymyksetTaulukko3[[#This Row],[Vastaus]]="Kyllä"),1,0)</f>
        <v>0</v>
      </c>
      <c r="U29" s="121">
        <f>IF(AND(KysymyksetTaulukko3[[#This Row],[Maksimipisteet]]=1,NOT(ISBLANK(KysymyksetTaulukko3[[#This Row],[Vastaus]]))),1,0)</f>
        <v>0</v>
      </c>
      <c r="V29" s="123">
        <f>IF(OR(KysymyksetTaulukko3[[#This Row],[Luokka + toimiala]]="Ei kuulu",KysymyksetTaulukko3[[#This Row],[Vastaus]]="Ei koske",KysymyksetTaulukko3[[#This Row],[Luokka]]="Extra",KysymyksetTaulukko3[[#This Row],[Otsikkorivi]]="Kyllä"),0,1)</f>
        <v>0</v>
      </c>
    </row>
    <row r="30" spans="1:22" ht="28.5" x14ac:dyDescent="0.25">
      <c r="A30" s="3" t="s">
        <v>12</v>
      </c>
      <c r="B30" s="3" t="str">
        <f>IF(ISNUMBER(SEARCH("," &amp; LV!$B$10 &amp; ",", "," &amp; SUBSTITUTE(A30, " ", "")&amp; ",")),
  "Kuuluu",
  IF(AND(LV!$B$10&gt;=2,
      LV!$B$10&lt;=4,
      OR(ISNUMBER(SEARCH("," &amp;(LV!$B$10+1)&amp; ",", "," &amp; SUBSTITUTE(A30, " ", "")&amp; ",")),
        ISNUMBER(SEARCH("," &amp;(LV!$B$10+2)&amp; ",", "," &amp; SUBSTITUTE(A30, " ", "")&amp; ",")),
        ISNUMBER(SEARCH("," &amp;(LV!$B$10+3)&amp; ",", "," &amp; SUBSTITUTE(A30, " ", "")&amp; ",")),
        ISNUMBER(SEARCH("," &amp;(LV!$B$10+4)&amp; ",", "," &amp; SUBSTITUTE(A30, " ", "")&amp; ",")),
        ISNUMBER(SEARCH("," &amp;(LV!$B$10+5)&amp; ",", "," &amp; SUBSTITUTE(A30, " ", "")&amp; ",")))),
    "Extra",
    "Ei kuulu"))</f>
        <v>Ei kuulu</v>
      </c>
      <c r="C30" s="3" t="s">
        <v>44</v>
      </c>
      <c r="D30" s="3" t="str">
        <f>IF(ISNUMBER(SEARCH(LV!$I$5, Kestävä_ja_kehittyvä!C30)), "K", "E")</f>
        <v>E</v>
      </c>
      <c r="E30" s="3" t="str">
        <f>IF(ISNUMBER(SEARCH(LV!$I$6, Kestävä_ja_kehittyvä!$C30)), "K", "E")</f>
        <v>E</v>
      </c>
      <c r="F30" s="3" t="str">
        <f>IF(ISNUMBER(SEARCH(LV!$I$7, Kestävä_ja_kehittyvä!$C30)), "K", "E")</f>
        <v>E</v>
      </c>
      <c r="G30" s="3" t="str">
        <f>IF(ISNUMBER(SEARCH(LV!$I$8, Kestävä_ja_kehittyvä!$C30)), "K", "E")</f>
        <v>E</v>
      </c>
      <c r="H30" s="3" t="str">
        <f>IF(OR(KysymyksetTaulukko3[[#This Row],[Toimiala A]]="K",KysymyksetTaulukko3[[#This Row],[Toimiala B]]="K",KysymyksetTaulukko3[[#This Row],[Toimiala C]]="K",KysymyksetTaulukko3[[#This Row],[Toimiala D]]="K"),"Kuuluu","Ei kuulu")</f>
        <v>Ei kuulu</v>
      </c>
      <c r="I30" s="3" t="str">
        <f>IF(OR(KysymyksetTaulukko3[[#This Row],[Luokka]]="Ei kuulu",KysymyksetTaulukko3[[#This Row],[Toimiala-
kysymys]]="Ei kuulu"), "Ei kuulu", "Kuuluu")</f>
        <v>Ei kuulu</v>
      </c>
      <c r="J30" s="3" t="str">
        <f>IF(KysymyksetTaulukko3[[#This Row],[Luokka + toimiala]]="Kuuluu","a) Oman vesilaitoksen kysymykset","b) Muut kysymykset")</f>
        <v>b) Muut kysymykset</v>
      </c>
      <c r="K30" s="9" t="s">
        <v>123</v>
      </c>
      <c r="L30" s="9" t="s">
        <v>148</v>
      </c>
      <c r="M30" s="61" t="str">
        <f>LEFT(KysymyksetTaulukko3[[#This Row],[Alakategoria_]],2)</f>
        <v>11</v>
      </c>
      <c r="N30" s="107"/>
      <c r="O30" s="70" t="s">
        <v>222</v>
      </c>
      <c r="P30" s="67" t="str">
        <f>IF(AND(KysymyksetTaulukko3[[#This Row],[Luokka]]="Extra",KysymyksetTaulukko3[[#This Row],[Luokka + toimiala]]="Kuuluu"),"Extra","")</f>
        <v/>
      </c>
      <c r="Q30" s="114"/>
      <c r="R30" s="64" t="s">
        <v>151</v>
      </c>
      <c r="S30" s="159"/>
      <c r="T30" s="123">
        <f>IF(AND(KysymyksetTaulukko3[[#This Row],[Luokka + toimiala]]="Kuuluu",KysymyksetTaulukko3[[#This Row],[Vastaus]]="Kyllä"),1,0)</f>
        <v>0</v>
      </c>
      <c r="U30" s="121">
        <f>IF(AND(KysymyksetTaulukko3[[#This Row],[Maksimipisteet]]=1,NOT(ISBLANK(KysymyksetTaulukko3[[#This Row],[Vastaus]]))),1,0)</f>
        <v>0</v>
      </c>
      <c r="V30" s="123">
        <f>IF(OR(KysymyksetTaulukko3[[#This Row],[Luokka + toimiala]]="Ei kuulu",KysymyksetTaulukko3[[#This Row],[Vastaus]]="Ei koske",KysymyksetTaulukko3[[#This Row],[Luokka]]="Extra",KysymyksetTaulukko3[[#This Row],[Otsikkorivi]]="Kyllä"),0,1)</f>
        <v>0</v>
      </c>
    </row>
    <row r="31" spans="1:22" ht="28.5" x14ac:dyDescent="0.25">
      <c r="A31" s="3" t="s">
        <v>19</v>
      </c>
      <c r="B31" s="3" t="str">
        <f>IF(ISNUMBER(SEARCH("," &amp; LV!$B$10 &amp; ",", "," &amp; SUBSTITUTE(A31, " ", "")&amp; ",")),
  "Kuuluu",
  IF(AND(LV!$B$10&gt;=2,
      LV!$B$10&lt;=4,
      OR(ISNUMBER(SEARCH("," &amp;(LV!$B$10+1)&amp; ",", "," &amp; SUBSTITUTE(A31, " ", "")&amp; ",")),
        ISNUMBER(SEARCH("," &amp;(LV!$B$10+2)&amp; ",", "," &amp; SUBSTITUTE(A31, " ", "")&amp; ",")),
        ISNUMBER(SEARCH("," &amp;(LV!$B$10+3)&amp; ",", "," &amp; SUBSTITUTE(A31, " ", "")&amp; ",")),
        ISNUMBER(SEARCH("," &amp;(LV!$B$10+4)&amp; ",", "," &amp; SUBSTITUTE(A31, " ", "")&amp; ",")),
        ISNUMBER(SEARCH("," &amp;(LV!$B$10+5)&amp; ",", "," &amp; SUBSTITUTE(A31, " ", "")&amp; ",")))),
    "Extra",
    "Ei kuulu"))</f>
        <v>Ei kuulu</v>
      </c>
      <c r="C31" s="3" t="s">
        <v>44</v>
      </c>
      <c r="D31" s="3" t="str">
        <f>IF(ISNUMBER(SEARCH(LV!$I$5, Kestävä_ja_kehittyvä!C31)), "K", "E")</f>
        <v>E</v>
      </c>
      <c r="E31" s="3" t="str">
        <f>IF(ISNUMBER(SEARCH(LV!$I$6, Kestävä_ja_kehittyvä!$C31)), "K", "E")</f>
        <v>E</v>
      </c>
      <c r="F31" s="3" t="str">
        <f>IF(ISNUMBER(SEARCH(LV!$I$7, Kestävä_ja_kehittyvä!$C31)), "K", "E")</f>
        <v>E</v>
      </c>
      <c r="G31" s="3" t="str">
        <f>IF(ISNUMBER(SEARCH(LV!$I$8, Kestävä_ja_kehittyvä!$C31)), "K", "E")</f>
        <v>E</v>
      </c>
      <c r="H31" s="3" t="str">
        <f>IF(OR(KysymyksetTaulukko3[[#This Row],[Toimiala A]]="K",KysymyksetTaulukko3[[#This Row],[Toimiala B]]="K",KysymyksetTaulukko3[[#This Row],[Toimiala C]]="K",KysymyksetTaulukko3[[#This Row],[Toimiala D]]="K"),"Kuuluu","Ei kuulu")</f>
        <v>Ei kuulu</v>
      </c>
      <c r="I31" s="3" t="str">
        <f>IF(OR(KysymyksetTaulukko3[[#This Row],[Luokka]]="Ei kuulu",KysymyksetTaulukko3[[#This Row],[Toimiala-
kysymys]]="Ei kuulu"), "Ei kuulu", "Kuuluu")</f>
        <v>Ei kuulu</v>
      </c>
      <c r="J31" s="3" t="str">
        <f>IF(KysymyksetTaulukko3[[#This Row],[Luokka + toimiala]]="Kuuluu","a) Oman vesilaitoksen kysymykset","b) Muut kysymykset")</f>
        <v>b) Muut kysymykset</v>
      </c>
      <c r="K31" s="9" t="s">
        <v>123</v>
      </c>
      <c r="L31" s="9" t="s">
        <v>148</v>
      </c>
      <c r="M31" s="61" t="str">
        <f>LEFT(KysymyksetTaulukko3[[#This Row],[Alakategoria_]],2)</f>
        <v>11</v>
      </c>
      <c r="N31" s="107"/>
      <c r="O31" s="70" t="s">
        <v>222</v>
      </c>
      <c r="P31" s="67" t="str">
        <f>IF(AND(KysymyksetTaulukko3[[#This Row],[Luokka]]="Extra",KysymyksetTaulukko3[[#This Row],[Luokka + toimiala]]="Kuuluu"),"Extra","")</f>
        <v/>
      </c>
      <c r="Q31" s="114"/>
      <c r="R31" s="64" t="s">
        <v>152</v>
      </c>
      <c r="S31" s="159"/>
      <c r="T31" s="123">
        <f>IF(AND(KysymyksetTaulukko3[[#This Row],[Luokka + toimiala]]="Kuuluu",KysymyksetTaulukko3[[#This Row],[Vastaus]]="Kyllä"),1,0)</f>
        <v>0</v>
      </c>
      <c r="U31" s="121">
        <f>IF(AND(KysymyksetTaulukko3[[#This Row],[Maksimipisteet]]=1,NOT(ISBLANK(KysymyksetTaulukko3[[#This Row],[Vastaus]]))),1,0)</f>
        <v>0</v>
      </c>
      <c r="V31" s="123">
        <f>IF(OR(KysymyksetTaulukko3[[#This Row],[Luokka + toimiala]]="Ei kuulu",KysymyksetTaulukko3[[#This Row],[Vastaus]]="Ei koske",KysymyksetTaulukko3[[#This Row],[Luokka]]="Extra",KysymyksetTaulukko3[[#This Row],[Otsikkorivi]]="Kyllä"),0,1)</f>
        <v>0</v>
      </c>
    </row>
    <row r="32" spans="1:22" ht="45" x14ac:dyDescent="0.25">
      <c r="A32" s="3" t="s">
        <v>19</v>
      </c>
      <c r="B32" s="3" t="str">
        <f>IF(ISNUMBER(SEARCH("," &amp; LV!$B$10 &amp; ",", "," &amp; SUBSTITUTE(A32, " ", "")&amp; ",")),
  "Kuuluu",
  IF(AND(LV!$B$10&gt;=2,
      LV!$B$10&lt;=4,
      OR(ISNUMBER(SEARCH("," &amp;(LV!$B$10+1)&amp; ",", "," &amp; SUBSTITUTE(A32, " ", "")&amp; ",")),
        ISNUMBER(SEARCH("," &amp;(LV!$B$10+2)&amp; ",", "," &amp; SUBSTITUTE(A32, " ", "")&amp; ",")),
        ISNUMBER(SEARCH("," &amp;(LV!$B$10+3)&amp; ",", "," &amp; SUBSTITUTE(A32, " ", "")&amp; ",")),
        ISNUMBER(SEARCH("," &amp;(LV!$B$10+4)&amp; ",", "," &amp; SUBSTITUTE(A32, " ", "")&amp; ",")),
        ISNUMBER(SEARCH("," &amp;(LV!$B$10+5)&amp; ",", "," &amp; SUBSTITUTE(A32, " ", "")&amp; ",")))),
    "Extra",
    "Ei kuulu"))</f>
        <v>Ei kuulu</v>
      </c>
      <c r="C32" s="3" t="s">
        <v>44</v>
      </c>
      <c r="D32" s="3" t="str">
        <f>IF(ISNUMBER(SEARCH(LV!$I$5, Kestävä_ja_kehittyvä!C32)), "K", "E")</f>
        <v>E</v>
      </c>
      <c r="E32" s="3" t="str">
        <f>IF(ISNUMBER(SEARCH(LV!$I$6, Kestävä_ja_kehittyvä!$C32)), "K", "E")</f>
        <v>E</v>
      </c>
      <c r="F32" s="3" t="str">
        <f>IF(ISNUMBER(SEARCH(LV!$I$7, Kestävä_ja_kehittyvä!$C32)), "K", "E")</f>
        <v>E</v>
      </c>
      <c r="G32" s="3" t="str">
        <f>IF(ISNUMBER(SEARCH(LV!$I$8, Kestävä_ja_kehittyvä!$C32)), "K", "E")</f>
        <v>E</v>
      </c>
      <c r="H32" s="3" t="str">
        <f>IF(OR(KysymyksetTaulukko3[[#This Row],[Toimiala A]]="K",KysymyksetTaulukko3[[#This Row],[Toimiala B]]="K",KysymyksetTaulukko3[[#This Row],[Toimiala C]]="K",KysymyksetTaulukko3[[#This Row],[Toimiala D]]="K"),"Kuuluu","Ei kuulu")</f>
        <v>Ei kuulu</v>
      </c>
      <c r="I32" s="3" t="str">
        <f>IF(OR(KysymyksetTaulukko3[[#This Row],[Luokka]]="Ei kuulu",KysymyksetTaulukko3[[#This Row],[Toimiala-
kysymys]]="Ei kuulu"), "Ei kuulu", "Kuuluu")</f>
        <v>Ei kuulu</v>
      </c>
      <c r="J32" s="3" t="str">
        <f>IF(KysymyksetTaulukko3[[#This Row],[Luokka + toimiala]]="Kuuluu","a) Oman vesilaitoksen kysymykset","b) Muut kysymykset")</f>
        <v>b) Muut kysymykset</v>
      </c>
      <c r="K32" s="9" t="s">
        <v>123</v>
      </c>
      <c r="L32" s="9" t="s">
        <v>148</v>
      </c>
      <c r="M32" s="61" t="str">
        <f>LEFT(KysymyksetTaulukko3[[#This Row],[Alakategoria_]],2)</f>
        <v>11</v>
      </c>
      <c r="N32" s="107"/>
      <c r="O32" s="70" t="s">
        <v>222</v>
      </c>
      <c r="P32" s="67" t="str">
        <f>IF(AND(KysymyksetTaulukko3[[#This Row],[Luokka]]="Extra",KysymyksetTaulukko3[[#This Row],[Luokka + toimiala]]="Kuuluu"),"Extra","")</f>
        <v/>
      </c>
      <c r="Q32" s="114"/>
      <c r="R32" s="64" t="s">
        <v>153</v>
      </c>
      <c r="S32" s="159"/>
      <c r="T32" s="123">
        <f>IF(AND(KysymyksetTaulukko3[[#This Row],[Luokka + toimiala]]="Kuuluu",KysymyksetTaulukko3[[#This Row],[Vastaus]]="Kyllä"),1,0)</f>
        <v>0</v>
      </c>
      <c r="U32" s="121">
        <f>IF(AND(KysymyksetTaulukko3[[#This Row],[Maksimipisteet]]=1,NOT(ISBLANK(KysymyksetTaulukko3[[#This Row],[Vastaus]]))),1,0)</f>
        <v>0</v>
      </c>
      <c r="V32" s="123">
        <f>IF(OR(KysymyksetTaulukko3[[#This Row],[Luokka + toimiala]]="Ei kuulu",KysymyksetTaulukko3[[#This Row],[Vastaus]]="Ei koske",KysymyksetTaulukko3[[#This Row],[Luokka]]="Extra",KysymyksetTaulukko3[[#This Row],[Otsikkorivi]]="Kyllä"),0,1)</f>
        <v>0</v>
      </c>
    </row>
    <row r="33" spans="1:22" ht="28.5" x14ac:dyDescent="0.25">
      <c r="A33" s="3">
        <v>2</v>
      </c>
      <c r="B33" s="3" t="str">
        <f>IF(ISNUMBER(SEARCH("," &amp; LV!$B$10 &amp; ",", "," &amp; SUBSTITUTE(A33, " ", "")&amp; ",")),
  "Kuuluu",
  IF(AND(LV!$B$10&gt;=2,
      LV!$B$10&lt;=4,
      OR(ISNUMBER(SEARCH("," &amp;(LV!$B$10+1)&amp; ",", "," &amp; SUBSTITUTE(A33, " ", "")&amp; ",")),
        ISNUMBER(SEARCH("," &amp;(LV!$B$10+2)&amp; ",", "," &amp; SUBSTITUTE(A33, " ", "")&amp; ",")),
        ISNUMBER(SEARCH("," &amp;(LV!$B$10+3)&amp; ",", "," &amp; SUBSTITUTE(A33, " ", "")&amp; ",")),
        ISNUMBER(SEARCH("," &amp;(LV!$B$10+4)&amp; ",", "," &amp; SUBSTITUTE(A33, " ", "")&amp; ",")),
        ISNUMBER(SEARCH("," &amp;(LV!$B$10+5)&amp; ",", "," &amp; SUBSTITUTE(A33, " ", "")&amp; ",")))),
    "Extra",
    "Ei kuulu"))</f>
        <v>Ei kuulu</v>
      </c>
      <c r="C33" s="3" t="s">
        <v>44</v>
      </c>
      <c r="D33" s="3" t="str">
        <f>IF(ISNUMBER(SEARCH(LV!$I$5, Kestävä_ja_kehittyvä!C33)), "K", "E")</f>
        <v>E</v>
      </c>
      <c r="E33" s="3" t="str">
        <f>IF(ISNUMBER(SEARCH(LV!$I$6, Kestävä_ja_kehittyvä!$C33)), "K", "E")</f>
        <v>E</v>
      </c>
      <c r="F33" s="3" t="str">
        <f>IF(ISNUMBER(SEARCH(LV!$I$7, Kestävä_ja_kehittyvä!$C33)), "K", "E")</f>
        <v>E</v>
      </c>
      <c r="G33" s="3" t="str">
        <f>IF(ISNUMBER(SEARCH(LV!$I$8, Kestävä_ja_kehittyvä!$C33)), "K", "E")</f>
        <v>E</v>
      </c>
      <c r="H33" s="3" t="str">
        <f>IF(OR(KysymyksetTaulukko3[[#This Row],[Toimiala A]]="K",KysymyksetTaulukko3[[#This Row],[Toimiala B]]="K",KysymyksetTaulukko3[[#This Row],[Toimiala C]]="K",KysymyksetTaulukko3[[#This Row],[Toimiala D]]="K"),"Kuuluu","Ei kuulu")</f>
        <v>Ei kuulu</v>
      </c>
      <c r="I33" s="3" t="str">
        <f>IF(OR(KysymyksetTaulukko3[[#This Row],[Luokka]]="Ei kuulu",KysymyksetTaulukko3[[#This Row],[Toimiala-
kysymys]]="Ei kuulu"), "Ei kuulu", "Kuuluu")</f>
        <v>Ei kuulu</v>
      </c>
      <c r="J33" s="3" t="str">
        <f>IF(KysymyksetTaulukko3[[#This Row],[Luokka + toimiala]]="Kuuluu","a) Oman vesilaitoksen kysymykset","b) Muut kysymykset")</f>
        <v>b) Muut kysymykset</v>
      </c>
      <c r="K33" s="9" t="s">
        <v>123</v>
      </c>
      <c r="L33" s="9" t="s">
        <v>148</v>
      </c>
      <c r="M33" s="61" t="str">
        <f>LEFT(KysymyksetTaulukko3[[#This Row],[Alakategoria_]],2)</f>
        <v>11</v>
      </c>
      <c r="N33" s="107"/>
      <c r="O33" s="70" t="s">
        <v>222</v>
      </c>
      <c r="P33" s="67" t="str">
        <f>IF(AND(KysymyksetTaulukko3[[#This Row],[Luokka]]="Extra",KysymyksetTaulukko3[[#This Row],[Luokka + toimiala]]="Kuuluu"),"Extra","")</f>
        <v/>
      </c>
      <c r="Q33" s="114"/>
      <c r="R33" s="64" t="s">
        <v>154</v>
      </c>
      <c r="S33" s="159"/>
      <c r="T33" s="123">
        <f>IF(AND(KysymyksetTaulukko3[[#This Row],[Luokka + toimiala]]="Kuuluu",KysymyksetTaulukko3[[#This Row],[Vastaus]]="Kyllä"),1,0)</f>
        <v>0</v>
      </c>
      <c r="U33" s="121">
        <f>IF(AND(KysymyksetTaulukko3[[#This Row],[Maksimipisteet]]=1,NOT(ISBLANK(KysymyksetTaulukko3[[#This Row],[Vastaus]]))),1,0)</f>
        <v>0</v>
      </c>
      <c r="V33" s="123">
        <f>IF(OR(KysymyksetTaulukko3[[#This Row],[Luokka + toimiala]]="Ei kuulu",KysymyksetTaulukko3[[#This Row],[Vastaus]]="Ei koske",KysymyksetTaulukko3[[#This Row],[Luokka]]="Extra",KysymyksetTaulukko3[[#This Row],[Otsikkorivi]]="Kyllä"),0,1)</f>
        <v>0</v>
      </c>
    </row>
    <row r="34" spans="1:22" ht="28.5" x14ac:dyDescent="0.25">
      <c r="A34" s="3">
        <v>3</v>
      </c>
      <c r="B34" s="3" t="str">
        <f>IF(ISNUMBER(SEARCH("," &amp; LV!$B$10 &amp; ",", "," &amp; SUBSTITUTE(A34, " ", "")&amp; ",")),
  "Kuuluu",
  IF(AND(LV!$B$10&gt;=2,
      LV!$B$10&lt;=4,
      OR(ISNUMBER(SEARCH("," &amp;(LV!$B$10+1)&amp; ",", "," &amp; SUBSTITUTE(A34, " ", "")&amp; ",")),
        ISNUMBER(SEARCH("," &amp;(LV!$B$10+2)&amp; ",", "," &amp; SUBSTITUTE(A34, " ", "")&amp; ",")),
        ISNUMBER(SEARCH("," &amp;(LV!$B$10+3)&amp; ",", "," &amp; SUBSTITUTE(A34, " ", "")&amp; ",")),
        ISNUMBER(SEARCH("," &amp;(LV!$B$10+4)&amp; ",", "," &amp; SUBSTITUTE(A34, " ", "")&amp; ",")),
        ISNUMBER(SEARCH("," &amp;(LV!$B$10+5)&amp; ",", "," &amp; SUBSTITUTE(A34, " ", "")&amp; ",")))),
    "Extra",
    "Ei kuulu"))</f>
        <v>Ei kuulu</v>
      </c>
      <c r="C34" s="3" t="s">
        <v>44</v>
      </c>
      <c r="D34" s="3" t="str">
        <f>IF(ISNUMBER(SEARCH(LV!$I$5, Kestävä_ja_kehittyvä!C34)), "K", "E")</f>
        <v>E</v>
      </c>
      <c r="E34" s="3" t="str">
        <f>IF(ISNUMBER(SEARCH(LV!$I$6, Kestävä_ja_kehittyvä!$C34)), "K", "E")</f>
        <v>E</v>
      </c>
      <c r="F34" s="3" t="str">
        <f>IF(ISNUMBER(SEARCH(LV!$I$7, Kestävä_ja_kehittyvä!$C34)), "K", "E")</f>
        <v>E</v>
      </c>
      <c r="G34" s="3" t="str">
        <f>IF(ISNUMBER(SEARCH(LV!$I$8, Kestävä_ja_kehittyvä!$C34)), "K", "E")</f>
        <v>E</v>
      </c>
      <c r="H34" s="3" t="str">
        <f>IF(OR(KysymyksetTaulukko3[[#This Row],[Toimiala A]]="K",KysymyksetTaulukko3[[#This Row],[Toimiala B]]="K",KysymyksetTaulukko3[[#This Row],[Toimiala C]]="K",KysymyksetTaulukko3[[#This Row],[Toimiala D]]="K"),"Kuuluu","Ei kuulu")</f>
        <v>Ei kuulu</v>
      </c>
      <c r="I34" s="3" t="str">
        <f>IF(OR(KysymyksetTaulukko3[[#This Row],[Luokka]]="Ei kuulu",KysymyksetTaulukko3[[#This Row],[Toimiala-
kysymys]]="Ei kuulu"), "Ei kuulu", "Kuuluu")</f>
        <v>Ei kuulu</v>
      </c>
      <c r="J34" s="3" t="str">
        <f>IF(KysymyksetTaulukko3[[#This Row],[Luokka + toimiala]]="Kuuluu","a) Oman vesilaitoksen kysymykset","b) Muut kysymykset")</f>
        <v>b) Muut kysymykset</v>
      </c>
      <c r="K34" s="9" t="s">
        <v>123</v>
      </c>
      <c r="L34" s="9" t="s">
        <v>148</v>
      </c>
      <c r="M34" s="61" t="str">
        <f>LEFT(KysymyksetTaulukko3[[#This Row],[Alakategoria_]],2)</f>
        <v>11</v>
      </c>
      <c r="N34" s="107"/>
      <c r="O34" s="70" t="s">
        <v>222</v>
      </c>
      <c r="P34" s="67" t="str">
        <f>IF(AND(KysymyksetTaulukko3[[#This Row],[Luokka]]="Extra",KysymyksetTaulukko3[[#This Row],[Luokka + toimiala]]="Kuuluu"),"Extra","")</f>
        <v/>
      </c>
      <c r="Q34" s="114"/>
      <c r="R34" s="64" t="s">
        <v>155</v>
      </c>
      <c r="S34" s="159"/>
      <c r="T34" s="123">
        <f>IF(AND(KysymyksetTaulukko3[[#This Row],[Luokka + toimiala]]="Kuuluu",KysymyksetTaulukko3[[#This Row],[Vastaus]]="Kyllä"),1,0)</f>
        <v>0</v>
      </c>
      <c r="U34" s="121">
        <f>IF(AND(KysymyksetTaulukko3[[#This Row],[Maksimipisteet]]=1,NOT(ISBLANK(KysymyksetTaulukko3[[#This Row],[Vastaus]]))),1,0)</f>
        <v>0</v>
      </c>
      <c r="V34" s="123">
        <f>IF(OR(KysymyksetTaulukko3[[#This Row],[Luokka + toimiala]]="Ei kuulu",KysymyksetTaulukko3[[#This Row],[Vastaus]]="Ei koske",KysymyksetTaulukko3[[#This Row],[Luokka]]="Extra",KysymyksetTaulukko3[[#This Row],[Otsikkorivi]]="Kyllä"),0,1)</f>
        <v>0</v>
      </c>
    </row>
    <row r="35" spans="1:22" ht="28.5" x14ac:dyDescent="0.25">
      <c r="A35" s="3">
        <v>4</v>
      </c>
      <c r="B35" s="3" t="str">
        <f>IF(ISNUMBER(SEARCH("," &amp; LV!$B$10 &amp; ",", "," &amp; SUBSTITUTE(A35, " ", "")&amp; ",")),
  "Kuuluu",
  IF(AND(LV!$B$10&gt;=2,
      LV!$B$10&lt;=4,
      OR(ISNUMBER(SEARCH("," &amp;(LV!$B$10+1)&amp; ",", "," &amp; SUBSTITUTE(A35, " ", "")&amp; ",")),
        ISNUMBER(SEARCH("," &amp;(LV!$B$10+2)&amp; ",", "," &amp; SUBSTITUTE(A35, " ", "")&amp; ",")),
        ISNUMBER(SEARCH("," &amp;(LV!$B$10+3)&amp; ",", "," &amp; SUBSTITUTE(A35, " ", "")&amp; ",")),
        ISNUMBER(SEARCH("," &amp;(LV!$B$10+4)&amp; ",", "," &amp; SUBSTITUTE(A35, " ", "")&amp; ",")),
        ISNUMBER(SEARCH("," &amp;(LV!$B$10+5)&amp; ",", "," &amp; SUBSTITUTE(A35, " ", "")&amp; ",")))),
    "Extra",
    "Ei kuulu"))</f>
        <v>Ei kuulu</v>
      </c>
      <c r="C35" s="3" t="s">
        <v>44</v>
      </c>
      <c r="D35" s="3" t="str">
        <f>IF(ISNUMBER(SEARCH(LV!$I$5, Kestävä_ja_kehittyvä!C35)), "K", "E")</f>
        <v>E</v>
      </c>
      <c r="E35" s="3" t="str">
        <f>IF(ISNUMBER(SEARCH(LV!$I$6, Kestävä_ja_kehittyvä!$C35)), "K", "E")</f>
        <v>E</v>
      </c>
      <c r="F35" s="3" t="str">
        <f>IF(ISNUMBER(SEARCH(LV!$I$7, Kestävä_ja_kehittyvä!$C35)), "K", "E")</f>
        <v>E</v>
      </c>
      <c r="G35" s="3" t="str">
        <f>IF(ISNUMBER(SEARCH(LV!$I$8, Kestävä_ja_kehittyvä!$C35)), "K", "E")</f>
        <v>E</v>
      </c>
      <c r="H35" s="3" t="str">
        <f>IF(OR(KysymyksetTaulukko3[[#This Row],[Toimiala A]]="K",KysymyksetTaulukko3[[#This Row],[Toimiala B]]="K",KysymyksetTaulukko3[[#This Row],[Toimiala C]]="K",KysymyksetTaulukko3[[#This Row],[Toimiala D]]="K"),"Kuuluu","Ei kuulu")</f>
        <v>Ei kuulu</v>
      </c>
      <c r="I35" s="3" t="str">
        <f>IF(OR(KysymyksetTaulukko3[[#This Row],[Luokka]]="Ei kuulu",KysymyksetTaulukko3[[#This Row],[Toimiala-
kysymys]]="Ei kuulu"), "Ei kuulu", "Kuuluu")</f>
        <v>Ei kuulu</v>
      </c>
      <c r="J35" s="3" t="str">
        <f>IF(KysymyksetTaulukko3[[#This Row],[Luokka + toimiala]]="Kuuluu","a) Oman vesilaitoksen kysymykset","b) Muut kysymykset")</f>
        <v>b) Muut kysymykset</v>
      </c>
      <c r="K35" s="9" t="s">
        <v>123</v>
      </c>
      <c r="L35" s="9" t="s">
        <v>148</v>
      </c>
      <c r="M35" s="61" t="str">
        <f>LEFT(KysymyksetTaulukko3[[#This Row],[Alakategoria_]],2)</f>
        <v>11</v>
      </c>
      <c r="N35" s="107"/>
      <c r="O35" s="70" t="s">
        <v>222</v>
      </c>
      <c r="P35" s="67" t="str">
        <f>IF(AND(KysymyksetTaulukko3[[#This Row],[Luokka]]="Extra",KysymyksetTaulukko3[[#This Row],[Luokka + toimiala]]="Kuuluu"),"Extra","")</f>
        <v/>
      </c>
      <c r="Q35" s="114"/>
      <c r="R35" s="64" t="s">
        <v>156</v>
      </c>
      <c r="S35" s="159"/>
      <c r="T35" s="123">
        <f>IF(AND(KysymyksetTaulukko3[[#This Row],[Luokka + toimiala]]="Kuuluu",KysymyksetTaulukko3[[#This Row],[Vastaus]]="Kyllä"),1,0)</f>
        <v>0</v>
      </c>
      <c r="U35" s="121">
        <f>IF(AND(KysymyksetTaulukko3[[#This Row],[Maksimipisteet]]=1,NOT(ISBLANK(KysymyksetTaulukko3[[#This Row],[Vastaus]]))),1,0)</f>
        <v>0</v>
      </c>
      <c r="V35" s="123">
        <f>IF(OR(KysymyksetTaulukko3[[#This Row],[Luokka + toimiala]]="Ei kuulu",KysymyksetTaulukko3[[#This Row],[Vastaus]]="Ei koske",KysymyksetTaulukko3[[#This Row],[Luokka]]="Extra",KysymyksetTaulukko3[[#This Row],[Otsikkorivi]]="Kyllä"),0,1)</f>
        <v>0</v>
      </c>
    </row>
    <row r="36" spans="1:22" ht="28.5" x14ac:dyDescent="0.25">
      <c r="A36" s="3">
        <v>3.4</v>
      </c>
      <c r="B36" s="3" t="str">
        <f>IF(ISNUMBER(SEARCH("," &amp; LV!$B$10 &amp; ",", "," &amp; SUBSTITUTE(A36, " ", "")&amp; ",")),
  "Kuuluu",
  IF(AND(LV!$B$10&gt;=2,
      LV!$B$10&lt;=4,
      OR(ISNUMBER(SEARCH("," &amp;(LV!$B$10+1)&amp; ",", "," &amp; SUBSTITUTE(A36, " ", "")&amp; ",")),
        ISNUMBER(SEARCH("," &amp;(LV!$B$10+2)&amp; ",", "," &amp; SUBSTITUTE(A36, " ", "")&amp; ",")),
        ISNUMBER(SEARCH("," &amp;(LV!$B$10+3)&amp; ",", "," &amp; SUBSTITUTE(A36, " ", "")&amp; ",")),
        ISNUMBER(SEARCH("," &amp;(LV!$B$10+4)&amp; ",", "," &amp; SUBSTITUTE(A36, " ", "")&amp; ",")),
        ISNUMBER(SEARCH("," &amp;(LV!$B$10+5)&amp; ",", "," &amp; SUBSTITUTE(A36, " ", "")&amp; ",")))),
    "Extra",
    "Ei kuulu"))</f>
        <v>Ei kuulu</v>
      </c>
      <c r="C36" s="3" t="s">
        <v>44</v>
      </c>
      <c r="D36" s="3" t="str">
        <f>IF(ISNUMBER(SEARCH(LV!$I$5, Kestävä_ja_kehittyvä!C36)), "K", "E")</f>
        <v>E</v>
      </c>
      <c r="E36" s="3" t="str">
        <f>IF(ISNUMBER(SEARCH(LV!$I$6, Kestävä_ja_kehittyvä!$C36)), "K", "E")</f>
        <v>E</v>
      </c>
      <c r="F36" s="3" t="str">
        <f>IF(ISNUMBER(SEARCH(LV!$I$7, Kestävä_ja_kehittyvä!$C36)), "K", "E")</f>
        <v>E</v>
      </c>
      <c r="G36" s="3" t="str">
        <f>IF(ISNUMBER(SEARCH(LV!$I$8, Kestävä_ja_kehittyvä!$C36)), "K", "E")</f>
        <v>E</v>
      </c>
      <c r="H36" s="3" t="str">
        <f>IF(OR(KysymyksetTaulukko3[[#This Row],[Toimiala A]]="K",KysymyksetTaulukko3[[#This Row],[Toimiala B]]="K",KysymyksetTaulukko3[[#This Row],[Toimiala C]]="K",KysymyksetTaulukko3[[#This Row],[Toimiala D]]="K"),"Kuuluu","Ei kuulu")</f>
        <v>Ei kuulu</v>
      </c>
      <c r="I36" s="3" t="str">
        <f>IF(OR(KysymyksetTaulukko3[[#This Row],[Luokka]]="Ei kuulu",KysymyksetTaulukko3[[#This Row],[Toimiala-
kysymys]]="Ei kuulu"), "Ei kuulu", "Kuuluu")</f>
        <v>Ei kuulu</v>
      </c>
      <c r="J36" s="3" t="str">
        <f>IF(KysymyksetTaulukko3[[#This Row],[Luokka + toimiala]]="Kuuluu","a) Oman vesilaitoksen kysymykset","b) Muut kysymykset")</f>
        <v>b) Muut kysymykset</v>
      </c>
      <c r="K36" s="9" t="s">
        <v>123</v>
      </c>
      <c r="L36" s="9" t="s">
        <v>148</v>
      </c>
      <c r="M36" s="61" t="str">
        <f>LEFT(KysymyksetTaulukko3[[#This Row],[Alakategoria_]],2)</f>
        <v>11</v>
      </c>
      <c r="N36" s="107"/>
      <c r="O36" s="70" t="s">
        <v>222</v>
      </c>
      <c r="P36" s="67" t="str">
        <f>IF(AND(KysymyksetTaulukko3[[#This Row],[Luokka]]="Extra",KysymyksetTaulukko3[[#This Row],[Luokka + toimiala]]="Kuuluu"),"Extra","")</f>
        <v/>
      </c>
      <c r="Q36" s="114"/>
      <c r="R36" s="64" t="s">
        <v>157</v>
      </c>
      <c r="S36" s="159"/>
      <c r="T36" s="123">
        <f>IF(AND(KysymyksetTaulukko3[[#This Row],[Luokka + toimiala]]="Kuuluu",KysymyksetTaulukko3[[#This Row],[Vastaus]]="Kyllä"),1,0)</f>
        <v>0</v>
      </c>
      <c r="U36" s="121">
        <f>IF(AND(KysymyksetTaulukko3[[#This Row],[Maksimipisteet]]=1,NOT(ISBLANK(KysymyksetTaulukko3[[#This Row],[Vastaus]]))),1,0)</f>
        <v>0</v>
      </c>
      <c r="V36" s="123">
        <f>IF(OR(KysymyksetTaulukko3[[#This Row],[Luokka + toimiala]]="Ei kuulu",KysymyksetTaulukko3[[#This Row],[Vastaus]]="Ei koske",KysymyksetTaulukko3[[#This Row],[Luokka]]="Extra",KysymyksetTaulukko3[[#This Row],[Otsikkorivi]]="Kyllä"),0,1)</f>
        <v>0</v>
      </c>
    </row>
    <row r="37" spans="1:22" ht="28.5" x14ac:dyDescent="0.25">
      <c r="A37" s="3">
        <v>3.4</v>
      </c>
      <c r="B37" s="3" t="str">
        <f>IF(ISNUMBER(SEARCH("," &amp; LV!$B$10 &amp; ",", "," &amp; SUBSTITUTE(A37, " ", "")&amp; ",")),
  "Kuuluu",
  IF(AND(LV!$B$10&gt;=2,
      LV!$B$10&lt;=4,
      OR(ISNUMBER(SEARCH("," &amp;(LV!$B$10+1)&amp; ",", "," &amp; SUBSTITUTE(A37, " ", "")&amp; ",")),
        ISNUMBER(SEARCH("," &amp;(LV!$B$10+2)&amp; ",", "," &amp; SUBSTITUTE(A37, " ", "")&amp; ",")),
        ISNUMBER(SEARCH("," &amp;(LV!$B$10+3)&amp; ",", "," &amp; SUBSTITUTE(A37, " ", "")&amp; ",")),
        ISNUMBER(SEARCH("," &amp;(LV!$B$10+4)&amp; ",", "," &amp; SUBSTITUTE(A37, " ", "")&amp; ",")),
        ISNUMBER(SEARCH("," &amp;(LV!$B$10+5)&amp; ",", "," &amp; SUBSTITUTE(A37, " ", "")&amp; ",")))),
    "Extra",
    "Ei kuulu"))</f>
        <v>Ei kuulu</v>
      </c>
      <c r="C37" s="3" t="s">
        <v>44</v>
      </c>
      <c r="D37" s="3" t="str">
        <f>IF(ISNUMBER(SEARCH(LV!$I$5, Kestävä_ja_kehittyvä!C37)), "K", "E")</f>
        <v>E</v>
      </c>
      <c r="E37" s="3" t="str">
        <f>IF(ISNUMBER(SEARCH(LV!$I$6, Kestävä_ja_kehittyvä!$C37)), "K", "E")</f>
        <v>E</v>
      </c>
      <c r="F37" s="3" t="str">
        <f>IF(ISNUMBER(SEARCH(LV!$I$7, Kestävä_ja_kehittyvä!$C37)), "K", "E")</f>
        <v>E</v>
      </c>
      <c r="G37" s="3" t="str">
        <f>IF(ISNUMBER(SEARCH(LV!$I$8, Kestävä_ja_kehittyvä!$C37)), "K", "E")</f>
        <v>E</v>
      </c>
      <c r="H37" s="3" t="str">
        <f>IF(OR(KysymyksetTaulukko3[[#This Row],[Toimiala A]]="K",KysymyksetTaulukko3[[#This Row],[Toimiala B]]="K",KysymyksetTaulukko3[[#This Row],[Toimiala C]]="K",KysymyksetTaulukko3[[#This Row],[Toimiala D]]="K"),"Kuuluu","Ei kuulu")</f>
        <v>Ei kuulu</v>
      </c>
      <c r="I37" s="3" t="str">
        <f>IF(OR(KysymyksetTaulukko3[[#This Row],[Luokka]]="Ei kuulu",KysymyksetTaulukko3[[#This Row],[Toimiala-
kysymys]]="Ei kuulu"), "Ei kuulu", "Kuuluu")</f>
        <v>Ei kuulu</v>
      </c>
      <c r="J37" s="3" t="str">
        <f>IF(KysymyksetTaulukko3[[#This Row],[Luokka + toimiala]]="Kuuluu","a) Oman vesilaitoksen kysymykset","b) Muut kysymykset")</f>
        <v>b) Muut kysymykset</v>
      </c>
      <c r="K37" s="9" t="s">
        <v>123</v>
      </c>
      <c r="L37" s="9" t="s">
        <v>148</v>
      </c>
      <c r="M37" s="61" t="str">
        <f>LEFT(KysymyksetTaulukko3[[#This Row],[Alakategoria_]],2)</f>
        <v>11</v>
      </c>
      <c r="N37" s="107"/>
      <c r="O37" s="70" t="s">
        <v>222</v>
      </c>
      <c r="P37" s="67" t="str">
        <f>IF(AND(KysymyksetTaulukko3[[#This Row],[Luokka]]="Extra",KysymyksetTaulukko3[[#This Row],[Luokka + toimiala]]="Kuuluu"),"Extra","")</f>
        <v/>
      </c>
      <c r="Q37" s="114"/>
      <c r="R37" s="64" t="s">
        <v>158</v>
      </c>
      <c r="S37" s="159"/>
      <c r="T37" s="123">
        <f>IF(AND(KysymyksetTaulukko3[[#This Row],[Luokka + toimiala]]="Kuuluu",KysymyksetTaulukko3[[#This Row],[Vastaus]]="Kyllä"),1,0)</f>
        <v>0</v>
      </c>
      <c r="U37" s="121">
        <f>IF(AND(KysymyksetTaulukko3[[#This Row],[Maksimipisteet]]=1,NOT(ISBLANK(KysymyksetTaulukko3[[#This Row],[Vastaus]]))),1,0)</f>
        <v>0</v>
      </c>
      <c r="V37" s="123">
        <f>IF(OR(KysymyksetTaulukko3[[#This Row],[Luokka + toimiala]]="Ei kuulu",KysymyksetTaulukko3[[#This Row],[Vastaus]]="Ei koske",KysymyksetTaulukko3[[#This Row],[Luokka]]="Extra",KysymyksetTaulukko3[[#This Row],[Otsikkorivi]]="Kyllä"),0,1)</f>
        <v>0</v>
      </c>
    </row>
    <row r="38" spans="1:22" ht="30" x14ac:dyDescent="0.25">
      <c r="A38" s="3">
        <v>4</v>
      </c>
      <c r="B38" s="3" t="str">
        <f>IF(ISNUMBER(SEARCH("," &amp; LV!$B$10 &amp; ",", "," &amp; SUBSTITUTE(A38, " ", "")&amp; ",")),
  "Kuuluu",
  IF(AND(LV!$B$10&gt;=2,
      LV!$B$10&lt;=4,
      OR(ISNUMBER(SEARCH("," &amp;(LV!$B$10+1)&amp; ",", "," &amp; SUBSTITUTE(A38, " ", "")&amp; ",")),
        ISNUMBER(SEARCH("," &amp;(LV!$B$10+2)&amp; ",", "," &amp; SUBSTITUTE(A38, " ", "")&amp; ",")),
        ISNUMBER(SEARCH("," &amp;(LV!$B$10+3)&amp; ",", "," &amp; SUBSTITUTE(A38, " ", "")&amp; ",")),
        ISNUMBER(SEARCH("," &amp;(LV!$B$10+4)&amp; ",", "," &amp; SUBSTITUTE(A38, " ", "")&amp; ",")),
        ISNUMBER(SEARCH("," &amp;(LV!$B$10+5)&amp; ",", "," &amp; SUBSTITUTE(A38, " ", "")&amp; ",")))),
    "Extra",
    "Ei kuulu"))</f>
        <v>Ei kuulu</v>
      </c>
      <c r="C38" s="3" t="s">
        <v>44</v>
      </c>
      <c r="D38" s="3" t="str">
        <f>IF(ISNUMBER(SEARCH(LV!$I$5, Kestävä_ja_kehittyvä!C38)), "K", "E")</f>
        <v>E</v>
      </c>
      <c r="E38" s="3" t="str">
        <f>IF(ISNUMBER(SEARCH(LV!$I$6, Kestävä_ja_kehittyvä!$C38)), "K", "E")</f>
        <v>E</v>
      </c>
      <c r="F38" s="3" t="str">
        <f>IF(ISNUMBER(SEARCH(LV!$I$7, Kestävä_ja_kehittyvä!$C38)), "K", "E")</f>
        <v>E</v>
      </c>
      <c r="G38" s="3" t="str">
        <f>IF(ISNUMBER(SEARCH(LV!$I$8, Kestävä_ja_kehittyvä!$C38)), "K", "E")</f>
        <v>E</v>
      </c>
      <c r="H38" s="3" t="str">
        <f>IF(OR(KysymyksetTaulukko3[[#This Row],[Toimiala A]]="K",KysymyksetTaulukko3[[#This Row],[Toimiala B]]="K",KysymyksetTaulukko3[[#This Row],[Toimiala C]]="K",KysymyksetTaulukko3[[#This Row],[Toimiala D]]="K"),"Kuuluu","Ei kuulu")</f>
        <v>Ei kuulu</v>
      </c>
      <c r="I38" s="3" t="str">
        <f>IF(OR(KysymyksetTaulukko3[[#This Row],[Luokka]]="Ei kuulu",KysymyksetTaulukko3[[#This Row],[Toimiala-
kysymys]]="Ei kuulu"), "Ei kuulu", "Kuuluu")</f>
        <v>Ei kuulu</v>
      </c>
      <c r="J38" s="3" t="str">
        <f>IF(KysymyksetTaulukko3[[#This Row],[Luokka + toimiala]]="Kuuluu","a) Oman vesilaitoksen kysymykset","b) Muut kysymykset")</f>
        <v>b) Muut kysymykset</v>
      </c>
      <c r="K38" s="9" t="s">
        <v>123</v>
      </c>
      <c r="L38" s="9" t="s">
        <v>148</v>
      </c>
      <c r="M38" s="61" t="str">
        <f>LEFT(KysymyksetTaulukko3[[#This Row],[Alakategoria_]],2)</f>
        <v>11</v>
      </c>
      <c r="N38" s="107"/>
      <c r="O38" s="70" t="s">
        <v>222</v>
      </c>
      <c r="P38" s="67" t="str">
        <f>IF(AND(KysymyksetTaulukko3[[#This Row],[Luokka]]="Extra",KysymyksetTaulukko3[[#This Row],[Luokka + toimiala]]="Kuuluu"),"Extra","")</f>
        <v/>
      </c>
      <c r="Q38" s="114"/>
      <c r="R38" s="64" t="s">
        <v>159</v>
      </c>
      <c r="S38" s="159"/>
      <c r="T38" s="123">
        <f>IF(AND(KysymyksetTaulukko3[[#This Row],[Luokka + toimiala]]="Kuuluu",KysymyksetTaulukko3[[#This Row],[Vastaus]]="Kyllä"),1,0)</f>
        <v>0</v>
      </c>
      <c r="U38" s="121">
        <f>IF(AND(KysymyksetTaulukko3[[#This Row],[Maksimipisteet]]=1,NOT(ISBLANK(KysymyksetTaulukko3[[#This Row],[Vastaus]]))),1,0)</f>
        <v>0</v>
      </c>
      <c r="V38" s="123">
        <f>IF(OR(KysymyksetTaulukko3[[#This Row],[Luokka + toimiala]]="Ei kuulu",KysymyksetTaulukko3[[#This Row],[Vastaus]]="Ei koske",KysymyksetTaulukko3[[#This Row],[Luokka]]="Extra",KysymyksetTaulukko3[[#This Row],[Otsikkorivi]]="Kyllä"),0,1)</f>
        <v>0</v>
      </c>
    </row>
    <row r="39" spans="1:22" ht="28.5" x14ac:dyDescent="0.25">
      <c r="A39" s="3">
        <v>4</v>
      </c>
      <c r="B39" s="3" t="str">
        <f>IF(ISNUMBER(SEARCH("," &amp; LV!$B$10 &amp; ",", "," &amp; SUBSTITUTE(A39, " ", "")&amp; ",")),
  "Kuuluu",
  IF(AND(LV!$B$10&gt;=2,
      LV!$B$10&lt;=4,
      OR(ISNUMBER(SEARCH("," &amp;(LV!$B$10+1)&amp; ",", "," &amp; SUBSTITUTE(A39, " ", "")&amp; ",")),
        ISNUMBER(SEARCH("," &amp;(LV!$B$10+2)&amp; ",", "," &amp; SUBSTITUTE(A39, " ", "")&amp; ",")),
        ISNUMBER(SEARCH("," &amp;(LV!$B$10+3)&amp; ",", "," &amp; SUBSTITUTE(A39, " ", "")&amp; ",")),
        ISNUMBER(SEARCH("," &amp;(LV!$B$10+4)&amp; ",", "," &amp; SUBSTITUTE(A39, " ", "")&amp; ",")),
        ISNUMBER(SEARCH("," &amp;(LV!$B$10+5)&amp; ",", "," &amp; SUBSTITUTE(A39, " ", "")&amp; ",")))),
    "Extra",
    "Ei kuulu"))</f>
        <v>Ei kuulu</v>
      </c>
      <c r="C39" s="3" t="s">
        <v>44</v>
      </c>
      <c r="D39" s="3" t="str">
        <f>IF(ISNUMBER(SEARCH(LV!$I$5, Kestävä_ja_kehittyvä!C39)), "K", "E")</f>
        <v>E</v>
      </c>
      <c r="E39" s="3" t="str">
        <f>IF(ISNUMBER(SEARCH(LV!$I$6, Kestävä_ja_kehittyvä!$C39)), "K", "E")</f>
        <v>E</v>
      </c>
      <c r="F39" s="3" t="str">
        <f>IF(ISNUMBER(SEARCH(LV!$I$7, Kestävä_ja_kehittyvä!$C39)), "K", "E")</f>
        <v>E</v>
      </c>
      <c r="G39" s="3" t="str">
        <f>IF(ISNUMBER(SEARCH(LV!$I$8, Kestävä_ja_kehittyvä!$C39)), "K", "E")</f>
        <v>E</v>
      </c>
      <c r="H39" s="3" t="str">
        <f>IF(OR(KysymyksetTaulukko3[[#This Row],[Toimiala A]]="K",KysymyksetTaulukko3[[#This Row],[Toimiala B]]="K",KysymyksetTaulukko3[[#This Row],[Toimiala C]]="K",KysymyksetTaulukko3[[#This Row],[Toimiala D]]="K"),"Kuuluu","Ei kuulu")</f>
        <v>Ei kuulu</v>
      </c>
      <c r="I39" s="3" t="str">
        <f>IF(OR(KysymyksetTaulukko3[[#This Row],[Luokka]]="Ei kuulu",KysymyksetTaulukko3[[#This Row],[Toimiala-
kysymys]]="Ei kuulu"), "Ei kuulu", "Kuuluu")</f>
        <v>Ei kuulu</v>
      </c>
      <c r="J39" s="3" t="str">
        <f>IF(KysymyksetTaulukko3[[#This Row],[Luokka + toimiala]]="Kuuluu","a) Oman vesilaitoksen kysymykset","b) Muut kysymykset")</f>
        <v>b) Muut kysymykset</v>
      </c>
      <c r="K39" s="9" t="s">
        <v>123</v>
      </c>
      <c r="L39" s="9" t="s">
        <v>148</v>
      </c>
      <c r="M39" s="61" t="str">
        <f>LEFT(KysymyksetTaulukko3[[#This Row],[Alakategoria_]],2)</f>
        <v>11</v>
      </c>
      <c r="N39" s="107"/>
      <c r="O39" s="70" t="s">
        <v>222</v>
      </c>
      <c r="P39" s="67" t="str">
        <f>IF(AND(KysymyksetTaulukko3[[#This Row],[Luokka]]="Extra",KysymyksetTaulukko3[[#This Row],[Luokka + toimiala]]="Kuuluu"),"Extra","")</f>
        <v/>
      </c>
      <c r="Q39" s="114"/>
      <c r="R39" s="64" t="s">
        <v>160</v>
      </c>
      <c r="S39" s="159"/>
      <c r="T39" s="123">
        <f>IF(AND(KysymyksetTaulukko3[[#This Row],[Luokka + toimiala]]="Kuuluu",KysymyksetTaulukko3[[#This Row],[Vastaus]]="Kyllä"),1,0)</f>
        <v>0</v>
      </c>
      <c r="U39" s="121">
        <f>IF(AND(KysymyksetTaulukko3[[#This Row],[Maksimipisteet]]=1,NOT(ISBLANK(KysymyksetTaulukko3[[#This Row],[Vastaus]]))),1,0)</f>
        <v>0</v>
      </c>
      <c r="V39" s="123">
        <f>IF(OR(KysymyksetTaulukko3[[#This Row],[Luokka + toimiala]]="Ei kuulu",KysymyksetTaulukko3[[#This Row],[Vastaus]]="Ei koske",KysymyksetTaulukko3[[#This Row],[Luokka]]="Extra",KysymyksetTaulukko3[[#This Row],[Otsikkorivi]]="Kyllä"),0,1)</f>
        <v>0</v>
      </c>
    </row>
    <row r="40" spans="1:22" ht="30" x14ac:dyDescent="0.25">
      <c r="A40" s="3">
        <v>4</v>
      </c>
      <c r="B40" s="3" t="str">
        <f>IF(ISNUMBER(SEARCH("," &amp; LV!$B$10 &amp; ",", "," &amp; SUBSTITUTE(A40, " ", "")&amp; ",")),
  "Kuuluu",
  IF(AND(LV!$B$10&gt;=2,
      LV!$B$10&lt;=4,
      OR(ISNUMBER(SEARCH("," &amp;(LV!$B$10+1)&amp; ",", "," &amp; SUBSTITUTE(A40, " ", "")&amp; ",")),
        ISNUMBER(SEARCH("," &amp;(LV!$B$10+2)&amp; ",", "," &amp; SUBSTITUTE(A40, " ", "")&amp; ",")),
        ISNUMBER(SEARCH("," &amp;(LV!$B$10+3)&amp; ",", "," &amp; SUBSTITUTE(A40, " ", "")&amp; ",")),
        ISNUMBER(SEARCH("," &amp;(LV!$B$10+4)&amp; ",", "," &amp; SUBSTITUTE(A40, " ", "")&amp; ",")),
        ISNUMBER(SEARCH("," &amp;(LV!$B$10+5)&amp; ",", "," &amp; SUBSTITUTE(A40, " ", "")&amp; ",")))),
    "Extra",
    "Ei kuulu"))</f>
        <v>Ei kuulu</v>
      </c>
      <c r="C40" s="3" t="s">
        <v>44</v>
      </c>
      <c r="D40" s="3" t="str">
        <f>IF(ISNUMBER(SEARCH(LV!$I$5, Kestävä_ja_kehittyvä!C40)), "K", "E")</f>
        <v>E</v>
      </c>
      <c r="E40" s="3" t="str">
        <f>IF(ISNUMBER(SEARCH(LV!$I$6, Kestävä_ja_kehittyvä!$C40)), "K", "E")</f>
        <v>E</v>
      </c>
      <c r="F40" s="3" t="str">
        <f>IF(ISNUMBER(SEARCH(LV!$I$7, Kestävä_ja_kehittyvä!$C40)), "K", "E")</f>
        <v>E</v>
      </c>
      <c r="G40" s="3" t="str">
        <f>IF(ISNUMBER(SEARCH(LV!$I$8, Kestävä_ja_kehittyvä!$C40)), "K", "E")</f>
        <v>E</v>
      </c>
      <c r="H40" s="3" t="str">
        <f>IF(OR(KysymyksetTaulukko3[[#This Row],[Toimiala A]]="K",KysymyksetTaulukko3[[#This Row],[Toimiala B]]="K",KysymyksetTaulukko3[[#This Row],[Toimiala C]]="K",KysymyksetTaulukko3[[#This Row],[Toimiala D]]="K"),"Kuuluu","Ei kuulu")</f>
        <v>Ei kuulu</v>
      </c>
      <c r="I40" s="3" t="str">
        <f>IF(OR(KysymyksetTaulukko3[[#This Row],[Luokka]]="Ei kuulu",KysymyksetTaulukko3[[#This Row],[Toimiala-
kysymys]]="Ei kuulu"), "Ei kuulu", "Kuuluu")</f>
        <v>Ei kuulu</v>
      </c>
      <c r="J40" s="3" t="str">
        <f>IF(KysymyksetTaulukko3[[#This Row],[Luokka + toimiala]]="Kuuluu","a) Oman vesilaitoksen kysymykset","b) Muut kysymykset")</f>
        <v>b) Muut kysymykset</v>
      </c>
      <c r="K40" s="9" t="s">
        <v>123</v>
      </c>
      <c r="L40" s="9" t="s">
        <v>148</v>
      </c>
      <c r="M40" s="61" t="str">
        <f>LEFT(KysymyksetTaulukko3[[#This Row],[Alakategoria_]],2)</f>
        <v>11</v>
      </c>
      <c r="N40" s="107"/>
      <c r="O40" s="70" t="s">
        <v>222</v>
      </c>
      <c r="P40" s="67" t="str">
        <f>IF(AND(KysymyksetTaulukko3[[#This Row],[Luokka]]="Extra",KysymyksetTaulukko3[[#This Row],[Luokka + toimiala]]="Kuuluu"),"Extra","")</f>
        <v/>
      </c>
      <c r="Q40" s="114"/>
      <c r="R40" s="64" t="s">
        <v>161</v>
      </c>
      <c r="S40" s="159"/>
      <c r="T40" s="123">
        <f>IF(AND(KysymyksetTaulukko3[[#This Row],[Luokka + toimiala]]="Kuuluu",KysymyksetTaulukko3[[#This Row],[Vastaus]]="Kyllä"),1,0)</f>
        <v>0</v>
      </c>
      <c r="U40" s="121">
        <f>IF(AND(KysymyksetTaulukko3[[#This Row],[Maksimipisteet]]=1,NOT(ISBLANK(KysymyksetTaulukko3[[#This Row],[Vastaus]]))),1,0)</f>
        <v>0</v>
      </c>
      <c r="V40" s="123">
        <f>IF(OR(KysymyksetTaulukko3[[#This Row],[Luokka + toimiala]]="Ei kuulu",KysymyksetTaulukko3[[#This Row],[Vastaus]]="Ei koske",KysymyksetTaulukko3[[#This Row],[Luokka]]="Extra",KysymyksetTaulukko3[[#This Row],[Otsikkorivi]]="Kyllä"),0,1)</f>
        <v>0</v>
      </c>
    </row>
    <row r="41" spans="1:22" ht="28.5" x14ac:dyDescent="0.25">
      <c r="A41" s="3">
        <v>4</v>
      </c>
      <c r="B41" s="3" t="str">
        <f>IF(ISNUMBER(SEARCH("," &amp; LV!$B$10 &amp; ",", "," &amp; SUBSTITUTE(A41, " ", "")&amp; ",")),
  "Kuuluu",
  IF(AND(LV!$B$10&gt;=2,
      LV!$B$10&lt;=4,
      OR(ISNUMBER(SEARCH("," &amp;(LV!$B$10+1)&amp; ",", "," &amp; SUBSTITUTE(A41, " ", "")&amp; ",")),
        ISNUMBER(SEARCH("," &amp;(LV!$B$10+2)&amp; ",", "," &amp; SUBSTITUTE(A41, " ", "")&amp; ",")),
        ISNUMBER(SEARCH("," &amp;(LV!$B$10+3)&amp; ",", "," &amp; SUBSTITUTE(A41, " ", "")&amp; ",")),
        ISNUMBER(SEARCH("," &amp;(LV!$B$10+4)&amp; ",", "," &amp; SUBSTITUTE(A41, " ", "")&amp; ",")),
        ISNUMBER(SEARCH("," &amp;(LV!$B$10+5)&amp; ",", "," &amp; SUBSTITUTE(A41, " ", "")&amp; ",")))),
    "Extra",
    "Ei kuulu"))</f>
        <v>Ei kuulu</v>
      </c>
      <c r="C41" s="3" t="s">
        <v>44</v>
      </c>
      <c r="D41" s="3" t="str">
        <f>IF(ISNUMBER(SEARCH(LV!$I$5, Kestävä_ja_kehittyvä!C41)), "K", "E")</f>
        <v>E</v>
      </c>
      <c r="E41" s="3" t="str">
        <f>IF(ISNUMBER(SEARCH(LV!$I$6, Kestävä_ja_kehittyvä!$C41)), "K", "E")</f>
        <v>E</v>
      </c>
      <c r="F41" s="3" t="str">
        <f>IF(ISNUMBER(SEARCH(LV!$I$7, Kestävä_ja_kehittyvä!$C41)), "K", "E")</f>
        <v>E</v>
      </c>
      <c r="G41" s="3" t="str">
        <f>IF(ISNUMBER(SEARCH(LV!$I$8, Kestävä_ja_kehittyvä!$C41)), "K", "E")</f>
        <v>E</v>
      </c>
      <c r="H41" s="3" t="str">
        <f>IF(OR(KysymyksetTaulukko3[[#This Row],[Toimiala A]]="K",KysymyksetTaulukko3[[#This Row],[Toimiala B]]="K",KysymyksetTaulukko3[[#This Row],[Toimiala C]]="K",KysymyksetTaulukko3[[#This Row],[Toimiala D]]="K"),"Kuuluu","Ei kuulu")</f>
        <v>Ei kuulu</v>
      </c>
      <c r="I41" s="3" t="str">
        <f>IF(OR(KysymyksetTaulukko3[[#This Row],[Luokka]]="Ei kuulu",KysymyksetTaulukko3[[#This Row],[Toimiala-
kysymys]]="Ei kuulu"), "Ei kuulu", "Kuuluu")</f>
        <v>Ei kuulu</v>
      </c>
      <c r="J41" s="3" t="str">
        <f>IF(KysymyksetTaulukko3[[#This Row],[Luokka + toimiala]]="Kuuluu","a) Oman vesilaitoksen kysymykset","b) Muut kysymykset")</f>
        <v>b) Muut kysymykset</v>
      </c>
      <c r="K41" s="9" t="s">
        <v>123</v>
      </c>
      <c r="L41" s="9" t="s">
        <v>148</v>
      </c>
      <c r="M41" s="61" t="str">
        <f>LEFT(KysymyksetTaulukko3[[#This Row],[Alakategoria_]],2)</f>
        <v>11</v>
      </c>
      <c r="N41" s="107"/>
      <c r="O41" s="70" t="s">
        <v>222</v>
      </c>
      <c r="P41" s="67" t="str">
        <f>IF(AND(KysymyksetTaulukko3[[#This Row],[Luokka]]="Extra",KysymyksetTaulukko3[[#This Row],[Luokka + toimiala]]="Kuuluu"),"Extra","")</f>
        <v/>
      </c>
      <c r="Q41" s="114"/>
      <c r="R41" s="64" t="s">
        <v>162</v>
      </c>
      <c r="S41" s="159"/>
      <c r="T41" s="123">
        <f>IF(AND(KysymyksetTaulukko3[[#This Row],[Luokka + toimiala]]="Kuuluu",KysymyksetTaulukko3[[#This Row],[Vastaus]]="Kyllä"),1,0)</f>
        <v>0</v>
      </c>
      <c r="U41" s="121">
        <f>IF(AND(KysymyksetTaulukko3[[#This Row],[Maksimipisteet]]=1,NOT(ISBLANK(KysymyksetTaulukko3[[#This Row],[Vastaus]]))),1,0)</f>
        <v>0</v>
      </c>
      <c r="V41" s="123">
        <f>IF(OR(KysymyksetTaulukko3[[#This Row],[Luokka + toimiala]]="Ei kuulu",KysymyksetTaulukko3[[#This Row],[Vastaus]]="Ei koske",KysymyksetTaulukko3[[#This Row],[Luokka]]="Extra",KysymyksetTaulukko3[[#This Row],[Otsikkorivi]]="Kyllä"),0,1)</f>
        <v>0</v>
      </c>
    </row>
    <row r="42" spans="1:22" ht="28.5" x14ac:dyDescent="0.25">
      <c r="A42" s="3">
        <v>5</v>
      </c>
      <c r="B42" s="3" t="str">
        <f>IF(ISNUMBER(SEARCH("," &amp; LV!$B$10 &amp; ",", "," &amp; SUBSTITUTE(A42, " ", "")&amp; ",")),
  "Kuuluu",
  IF(AND(LV!$B$10&gt;=2,
      LV!$B$10&lt;=4,
      OR(ISNUMBER(SEARCH("," &amp;(LV!$B$10+1)&amp; ",", "," &amp; SUBSTITUTE(A42, " ", "")&amp; ",")),
        ISNUMBER(SEARCH("," &amp;(LV!$B$10+2)&amp; ",", "," &amp; SUBSTITUTE(A42, " ", "")&amp; ",")),
        ISNUMBER(SEARCH("," &amp;(LV!$B$10+3)&amp; ",", "," &amp; SUBSTITUTE(A42, " ", "")&amp; ",")),
        ISNUMBER(SEARCH("," &amp;(LV!$B$10+4)&amp; ",", "," &amp; SUBSTITUTE(A42, " ", "")&amp; ",")),
        ISNUMBER(SEARCH("," &amp;(LV!$B$10+5)&amp; ",", "," &amp; SUBSTITUTE(A42, " ", "")&amp; ",")))),
    "Extra",
    "Ei kuulu"))</f>
        <v>Ei kuulu</v>
      </c>
      <c r="C42" s="3" t="s">
        <v>44</v>
      </c>
      <c r="D42" s="3" t="str">
        <f>IF(ISNUMBER(SEARCH(LV!$I$5, Kestävä_ja_kehittyvä!C42)), "K", "E")</f>
        <v>E</v>
      </c>
      <c r="E42" s="3" t="str">
        <f>IF(ISNUMBER(SEARCH(LV!$I$6, Kestävä_ja_kehittyvä!$C42)), "K", "E")</f>
        <v>E</v>
      </c>
      <c r="F42" s="3" t="str">
        <f>IF(ISNUMBER(SEARCH(LV!$I$7, Kestävä_ja_kehittyvä!$C42)), "K", "E")</f>
        <v>E</v>
      </c>
      <c r="G42" s="3" t="str">
        <f>IF(ISNUMBER(SEARCH(LV!$I$8, Kestävä_ja_kehittyvä!$C42)), "K", "E")</f>
        <v>E</v>
      </c>
      <c r="H42" s="3" t="str">
        <f>IF(OR(KysymyksetTaulukko3[[#This Row],[Toimiala A]]="K",KysymyksetTaulukko3[[#This Row],[Toimiala B]]="K",KysymyksetTaulukko3[[#This Row],[Toimiala C]]="K",KysymyksetTaulukko3[[#This Row],[Toimiala D]]="K"),"Kuuluu","Ei kuulu")</f>
        <v>Ei kuulu</v>
      </c>
      <c r="I42" s="3" t="str">
        <f>IF(OR(KysymyksetTaulukko3[[#This Row],[Luokka]]="Ei kuulu",KysymyksetTaulukko3[[#This Row],[Toimiala-
kysymys]]="Ei kuulu"), "Ei kuulu", "Kuuluu")</f>
        <v>Ei kuulu</v>
      </c>
      <c r="J42" s="3" t="str">
        <f>IF(KysymyksetTaulukko3[[#This Row],[Luokka + toimiala]]="Kuuluu","a) Oman vesilaitoksen kysymykset","b) Muut kysymykset")</f>
        <v>b) Muut kysymykset</v>
      </c>
      <c r="K42" s="9" t="s">
        <v>123</v>
      </c>
      <c r="L42" s="9" t="s">
        <v>148</v>
      </c>
      <c r="M42" s="61" t="str">
        <f>LEFT(KysymyksetTaulukko3[[#This Row],[Alakategoria_]],2)</f>
        <v>11</v>
      </c>
      <c r="N42" s="107"/>
      <c r="O42" s="70" t="s">
        <v>222</v>
      </c>
      <c r="P42" s="67" t="str">
        <f>IF(AND(KysymyksetTaulukko3[[#This Row],[Luokka]]="Extra",KysymyksetTaulukko3[[#This Row],[Luokka + toimiala]]="Kuuluu"),"Extra","")</f>
        <v/>
      </c>
      <c r="Q42" s="114"/>
      <c r="R42" s="64" t="s">
        <v>163</v>
      </c>
      <c r="S42" s="159"/>
      <c r="T42" s="123">
        <f>IF(AND(KysymyksetTaulukko3[[#This Row],[Luokka + toimiala]]="Kuuluu",KysymyksetTaulukko3[[#This Row],[Vastaus]]="Kyllä"),1,0)</f>
        <v>0</v>
      </c>
      <c r="U42" s="121">
        <f>IF(AND(KysymyksetTaulukko3[[#This Row],[Maksimipisteet]]=1,NOT(ISBLANK(KysymyksetTaulukko3[[#This Row],[Vastaus]]))),1,0)</f>
        <v>0</v>
      </c>
      <c r="V42" s="123">
        <f>IF(OR(KysymyksetTaulukko3[[#This Row],[Luokka + toimiala]]="Ei kuulu",KysymyksetTaulukko3[[#This Row],[Vastaus]]="Ei koske",KysymyksetTaulukko3[[#This Row],[Luokka]]="Extra",KysymyksetTaulukko3[[#This Row],[Otsikkorivi]]="Kyllä"),0,1)</f>
        <v>0</v>
      </c>
    </row>
    <row r="43" spans="1:22" ht="30" x14ac:dyDescent="0.25">
      <c r="A43" s="3">
        <v>5</v>
      </c>
      <c r="B43" s="3" t="str">
        <f>IF(ISNUMBER(SEARCH("," &amp; LV!$B$10 &amp; ",", "," &amp; SUBSTITUTE(A43, " ", "")&amp; ",")),
  "Kuuluu",
  IF(AND(LV!$B$10&gt;=2,
      LV!$B$10&lt;=4,
      OR(ISNUMBER(SEARCH("," &amp;(LV!$B$10+1)&amp; ",", "," &amp; SUBSTITUTE(A43, " ", "")&amp; ",")),
        ISNUMBER(SEARCH("," &amp;(LV!$B$10+2)&amp; ",", "," &amp; SUBSTITUTE(A43, " ", "")&amp; ",")),
        ISNUMBER(SEARCH("," &amp;(LV!$B$10+3)&amp; ",", "," &amp; SUBSTITUTE(A43, " ", "")&amp; ",")),
        ISNUMBER(SEARCH("," &amp;(LV!$B$10+4)&amp; ",", "," &amp; SUBSTITUTE(A43, " ", "")&amp; ",")),
        ISNUMBER(SEARCH("," &amp;(LV!$B$10+5)&amp; ",", "," &amp; SUBSTITUTE(A43, " ", "")&amp; ",")))),
    "Extra",
    "Ei kuulu"))</f>
        <v>Ei kuulu</v>
      </c>
      <c r="C43" s="3" t="s">
        <v>44</v>
      </c>
      <c r="D43" s="3" t="str">
        <f>IF(ISNUMBER(SEARCH(LV!$I$5, Kestävä_ja_kehittyvä!C43)), "K", "E")</f>
        <v>E</v>
      </c>
      <c r="E43" s="3" t="str">
        <f>IF(ISNUMBER(SEARCH(LV!$I$6, Kestävä_ja_kehittyvä!$C43)), "K", "E")</f>
        <v>E</v>
      </c>
      <c r="F43" s="3" t="str">
        <f>IF(ISNUMBER(SEARCH(LV!$I$7, Kestävä_ja_kehittyvä!$C43)), "K", "E")</f>
        <v>E</v>
      </c>
      <c r="G43" s="3" t="str">
        <f>IF(ISNUMBER(SEARCH(LV!$I$8, Kestävä_ja_kehittyvä!$C43)), "K", "E")</f>
        <v>E</v>
      </c>
      <c r="H43" s="3" t="str">
        <f>IF(OR(KysymyksetTaulukko3[[#This Row],[Toimiala A]]="K",KysymyksetTaulukko3[[#This Row],[Toimiala B]]="K",KysymyksetTaulukko3[[#This Row],[Toimiala C]]="K",KysymyksetTaulukko3[[#This Row],[Toimiala D]]="K"),"Kuuluu","Ei kuulu")</f>
        <v>Ei kuulu</v>
      </c>
      <c r="I43" s="3" t="str">
        <f>IF(OR(KysymyksetTaulukko3[[#This Row],[Luokka]]="Ei kuulu",KysymyksetTaulukko3[[#This Row],[Toimiala-
kysymys]]="Ei kuulu"), "Ei kuulu", "Kuuluu")</f>
        <v>Ei kuulu</v>
      </c>
      <c r="J43" s="3" t="str">
        <f>IF(KysymyksetTaulukko3[[#This Row],[Luokka + toimiala]]="Kuuluu","a) Oman vesilaitoksen kysymykset","b) Muut kysymykset")</f>
        <v>b) Muut kysymykset</v>
      </c>
      <c r="K43" s="9" t="s">
        <v>123</v>
      </c>
      <c r="L43" s="9" t="s">
        <v>148</v>
      </c>
      <c r="M43" s="62" t="str">
        <f>LEFT(KysymyksetTaulukko3[[#This Row],[Alakategoria_]],2)</f>
        <v>11</v>
      </c>
      <c r="N43" s="111"/>
      <c r="O43" s="70" t="s">
        <v>222</v>
      </c>
      <c r="P43" s="67" t="str">
        <f>IF(AND(KysymyksetTaulukko3[[#This Row],[Luokka]]="Extra",KysymyksetTaulukko3[[#This Row],[Luokka + toimiala]]="Kuuluu"),"Extra","")</f>
        <v/>
      </c>
      <c r="Q43" s="114"/>
      <c r="R43" s="64" t="s">
        <v>164</v>
      </c>
      <c r="S43" s="159"/>
      <c r="T43" s="124">
        <f>IF(AND(KysymyksetTaulukko3[[#This Row],[Luokka + toimiala]]="Kuuluu",KysymyksetTaulukko3[[#This Row],[Vastaus]]="Kyllä"),1,0)</f>
        <v>0</v>
      </c>
      <c r="U43" s="121">
        <f>IF(AND(KysymyksetTaulukko3[[#This Row],[Maksimipisteet]]=1,NOT(ISBLANK(KysymyksetTaulukko3[[#This Row],[Vastaus]]))),1,0)</f>
        <v>0</v>
      </c>
      <c r="V43" s="124">
        <f>IF(OR(KysymyksetTaulukko3[[#This Row],[Luokka + toimiala]]="Ei kuulu",KysymyksetTaulukko3[[#This Row],[Vastaus]]="Ei koske",KysymyksetTaulukko3[[#This Row],[Luokka]]="Extra",KysymyksetTaulukko3[[#This Row],[Otsikkorivi]]="Kyllä"),0,1)</f>
        <v>0</v>
      </c>
    </row>
    <row r="44" spans="1:22" x14ac:dyDescent="0.25">
      <c r="S44" s="18"/>
      <c r="V44" s="6"/>
    </row>
    <row r="45" spans="1:22" x14ac:dyDescent="0.25">
      <c r="S45" s="18"/>
      <c r="V45" s="6"/>
    </row>
    <row r="46" spans="1:22" x14ac:dyDescent="0.25">
      <c r="S46" s="18"/>
      <c r="V46" s="6"/>
    </row>
  </sheetData>
  <conditionalFormatting sqref="R5:R43">
    <cfRule type="expression" dxfId="21" priority="1">
      <formula>I5="Ei kuulu"</formula>
    </cfRule>
    <cfRule type="expression" dxfId="20" priority="2">
      <formula>P5="Extra"</formula>
    </cfRule>
  </conditionalFormatting>
  <conditionalFormatting sqref="S5:S43">
    <cfRule type="expression" dxfId="19" priority="3">
      <formula>AND(P5="Extra",NOT(ISBLANK(S5)))</formula>
    </cfRule>
    <cfRule type="expression" dxfId="18" priority="4">
      <formula>NOT(ISBLANK($S5))</formula>
    </cfRule>
    <cfRule type="expression" dxfId="17" priority="5">
      <formula>I5="Ei kuulu"</formula>
    </cfRule>
  </conditionalFormatting>
  <hyperlinks>
    <hyperlink ref="S1" location="Ohje!A1" tooltip="Klikkaa tästä niin pääset lukemaan ohjeita toiselta välilehdeltä." display="Ohje" xr:uid="{E6CAF9ED-0F11-4266-A589-3E6E3196841A}"/>
  </hyperlinks>
  <pageMargins left="0.7" right="0.7" top="0.75" bottom="0.75" header="0.3" footer="0.3"/>
  <pageSetup paperSize="9" orientation="portrait" horizontalDpi="4294967293" verticalDpi="0"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245630E2-CBA9-440C-95FF-05EBD2DDE79F}">
          <x14:formula1>
            <xm:f>LV!$B$30:$B$32</xm:f>
          </x14:formula1>
          <xm:sqref>S6:S13 S15:S26 S28:S43</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4A42-B4E8-422C-BF31-4C9F2EC0867B}">
  <sheetPr>
    <tabColor rgb="FFFF0000"/>
  </sheetPr>
  <dimension ref="B2:O53"/>
  <sheetViews>
    <sheetView showGridLines="0" workbookViewId="0"/>
  </sheetViews>
  <sheetFormatPr defaultRowHeight="15" x14ac:dyDescent="0.25"/>
  <cols>
    <col min="2" max="2" width="3.85546875" customWidth="1"/>
    <col min="3" max="3" width="29.140625" customWidth="1"/>
    <col min="4" max="5" width="12.140625" customWidth="1"/>
    <col min="6" max="6" width="9.5703125" customWidth="1"/>
    <col min="7" max="7" width="10.85546875" customWidth="1"/>
    <col min="8" max="8" width="12.140625" bestFit="1" customWidth="1"/>
    <col min="9" max="9" width="19.140625" customWidth="1"/>
    <col min="13" max="13" width="9.42578125" customWidth="1"/>
    <col min="14" max="14" width="13.85546875" customWidth="1"/>
    <col min="15" max="15" width="10.85546875" customWidth="1"/>
  </cols>
  <sheetData>
    <row r="2" spans="2:15" ht="26.25" x14ac:dyDescent="0.4">
      <c r="B2" s="127" t="s">
        <v>256</v>
      </c>
      <c r="C2" s="75"/>
      <c r="D2" s="75"/>
      <c r="E2" s="75"/>
      <c r="F2" s="75"/>
    </row>
    <row r="4" spans="2:15" ht="15.75" thickBot="1" x14ac:dyDescent="0.3"/>
    <row r="5" spans="2:15" x14ac:dyDescent="0.25">
      <c r="B5" s="19"/>
      <c r="C5" s="20"/>
      <c r="D5" s="20"/>
      <c r="E5" s="20"/>
      <c r="F5" s="20"/>
      <c r="G5" s="20"/>
      <c r="H5" s="20"/>
      <c r="I5" s="20"/>
      <c r="J5" s="21"/>
    </row>
    <row r="6" spans="2:15" ht="45.75" x14ac:dyDescent="0.3">
      <c r="B6" s="22"/>
      <c r="C6" s="32" t="s">
        <v>2</v>
      </c>
      <c r="D6" s="23" t="s">
        <v>198</v>
      </c>
      <c r="E6" s="23" t="s">
        <v>192</v>
      </c>
      <c r="F6" s="23" t="s">
        <v>187</v>
      </c>
      <c r="G6" s="23" t="s">
        <v>201</v>
      </c>
      <c r="H6" s="23" t="s">
        <v>186</v>
      </c>
      <c r="I6" s="38" t="s">
        <v>200</v>
      </c>
      <c r="J6" s="24"/>
    </row>
    <row r="7" spans="2:15" ht="18" customHeight="1" x14ac:dyDescent="0.25">
      <c r="B7" s="22"/>
      <c r="C7" s="33" t="s">
        <v>7</v>
      </c>
      <c r="D7" s="34">
        <f>IF(IFERROR(G7/F7,0)&lt;0, 0, IFERROR(G7/F7,0))</f>
        <v>0</v>
      </c>
      <c r="E7" s="34">
        <f>IF(IFERROR((F7-G7)/F7,0)&lt;0,0,IFERROR((F7-G7)/F7,0))</f>
        <v>0</v>
      </c>
      <c r="F7" s="35">
        <f>SUMIF(KysymyksetTaulukko[Pääkategoria], 'TEKNINEN - TulostenLasku'!C7,KysymyksetTaulukko[Maksimipisteet])</f>
        <v>0</v>
      </c>
      <c r="G7" s="35">
        <f>SUMIF(KysymyksetTaulukko[Pääkategoria], 'TEKNINEN - TulostenLasku'!C7,KysymyksetTaulukko[Pisteet])</f>
        <v>0</v>
      </c>
      <c r="H7" s="36">
        <f>IFERROR(G7/F7*100,0)</f>
        <v>0</v>
      </c>
      <c r="I7" s="37" t="str">
        <f>IF(H7&gt;=100,"Erinomainen",IF(H7&gt;=80,"Hyvä",IF(AND(H7&gt;=50,H7&lt;80),"Korjattavaa",IF(AND(H7&gt;=30,H7&lt;50),"Huono",IF(AND(H7&gt;0,H7&lt;30),"Erittäin huono","Ei vielä vastattu?")))))</f>
        <v>Ei vielä vastattu?</v>
      </c>
      <c r="J7" s="24"/>
      <c r="M7" s="147" t="s">
        <v>261</v>
      </c>
    </row>
    <row r="8" spans="2:15" ht="18" customHeight="1" x14ac:dyDescent="0.25">
      <c r="B8" s="22"/>
      <c r="C8" s="33" t="s">
        <v>80</v>
      </c>
      <c r="D8" s="34">
        <f t="shared" ref="D8:D10" si="0">IF(IFERROR(G8/F8,0)&lt;0, 0, IFERROR(G8/F8,0))</f>
        <v>0</v>
      </c>
      <c r="E8" s="34">
        <f t="shared" ref="E8:E9" si="1">IF(IFERROR((F8-G8)/F8,0)&lt;0,0,IFERROR((F8-G8)/F8,0))</f>
        <v>0</v>
      </c>
      <c r="F8" s="35">
        <f>SUMIF(KysymyksetTaulukko2[Pääkategoria], 'TEKNINEN - TulostenLasku'!C8,KysymyksetTaulukko2[Maksimipisteet])</f>
        <v>0</v>
      </c>
      <c r="G8" s="35">
        <f>SUMIF(KysymyksetTaulukko2[Pääkategoria], 'TEKNINEN - TulostenLasku'!C8,KysymyksetTaulukko2[Pisteet])</f>
        <v>0</v>
      </c>
      <c r="H8" s="36">
        <f t="shared" ref="H8:H10" si="2">IFERROR(G8/F8*100,0)</f>
        <v>0</v>
      </c>
      <c r="I8" s="37" t="str">
        <f t="shared" ref="I8:I10" si="3">IF(H8&gt;=100,"Erinomainen",IF(H8&gt;=80,"Hyvä",IF(AND(H8&gt;=50,H8&lt;80),"Korjattavaa",IF(AND(H8&gt;=30,H8&lt;50),"Huono",IF(AND(H8&gt;0,H8&lt;30),"Erittäin huono","Ei vielä vastattu?")))))</f>
        <v>Ei vielä vastattu?</v>
      </c>
      <c r="J8" s="24"/>
      <c r="M8" t="s">
        <v>2</v>
      </c>
      <c r="N8" t="s">
        <v>184</v>
      </c>
      <c r="O8" t="s">
        <v>185</v>
      </c>
    </row>
    <row r="9" spans="2:15" ht="18" customHeight="1" x14ac:dyDescent="0.25">
      <c r="B9" s="22"/>
      <c r="C9" s="33" t="s">
        <v>123</v>
      </c>
      <c r="D9" s="34">
        <f t="shared" si="0"/>
        <v>0</v>
      </c>
      <c r="E9" s="34">
        <f t="shared" si="1"/>
        <v>0</v>
      </c>
      <c r="F9" s="35">
        <f>SUMIF(KysymyksetTaulukko3[Pääkategoria], 'TEKNINEN - TulostenLasku'!C9,KysymyksetTaulukko3[Maksimipisteet])</f>
        <v>0</v>
      </c>
      <c r="G9" s="35">
        <f>SUMIF(KysymyksetTaulukko3[Pääkategoria], 'TEKNINEN - TulostenLasku'!C9,KysymyksetTaulukko3[Pisteet])</f>
        <v>0</v>
      </c>
      <c r="H9" s="36">
        <f t="shared" si="2"/>
        <v>0</v>
      </c>
      <c r="I9" s="37" t="str">
        <f t="shared" si="3"/>
        <v>Ei vielä vastattu?</v>
      </c>
      <c r="J9" s="24"/>
      <c r="M9" s="11" t="s">
        <v>263</v>
      </c>
      <c r="N9" s="11">
        <f>SUMIF(KysymyksetTaulukko[HV], "X",KysymyksetTaulukko[Maksimipisteet])</f>
        <v>0</v>
      </c>
      <c r="O9" s="11">
        <f>SUMIF(KysymyksetTaulukko[HV], "x",KysymyksetTaulukko[Pisteet])</f>
        <v>0</v>
      </c>
    </row>
    <row r="10" spans="2:15" ht="18" customHeight="1" x14ac:dyDescent="0.25">
      <c r="B10" s="22"/>
      <c r="C10" s="33" t="s">
        <v>5</v>
      </c>
      <c r="D10" s="34">
        <f t="shared" si="0"/>
        <v>0</v>
      </c>
      <c r="E10" s="34">
        <f>IF(IFERROR((F10-G10)/F10,0)&lt;0,0,IFERROR((F10-G10)/F10,0))</f>
        <v>0</v>
      </c>
      <c r="F10" s="35">
        <f>N12</f>
        <v>0</v>
      </c>
      <c r="G10" s="35">
        <f>O12</f>
        <v>0</v>
      </c>
      <c r="H10" s="36">
        <f t="shared" si="2"/>
        <v>0</v>
      </c>
      <c r="I10" s="37" t="str">
        <f t="shared" si="3"/>
        <v>Ei vielä vastattu?</v>
      </c>
      <c r="J10" s="24"/>
      <c r="M10" s="11" t="s">
        <v>264</v>
      </c>
      <c r="N10" s="11">
        <f>SUMIF(KysymyksetTaulukko2[HV], "X",KysymyksetTaulukko2[Maksimipisteet])</f>
        <v>0</v>
      </c>
      <c r="O10" s="11">
        <f>SUMIF(KysymyksetTaulukko2[HV], "x",KysymyksetTaulukko2[Pisteet])</f>
        <v>0</v>
      </c>
    </row>
    <row r="11" spans="2:15" ht="18" customHeight="1" x14ac:dyDescent="0.25">
      <c r="B11" s="22"/>
      <c r="C11" s="25"/>
      <c r="D11" s="26"/>
      <c r="E11" s="26"/>
      <c r="F11" s="27"/>
      <c r="G11" s="27"/>
      <c r="H11" s="28"/>
      <c r="I11" s="25"/>
      <c r="J11" s="24"/>
      <c r="M11" s="11" t="s">
        <v>265</v>
      </c>
      <c r="N11" s="11">
        <f>SUMIF(KysymyksetTaulukko3[HV], "X",KysymyksetTaulukko3[Maksimipisteet])</f>
        <v>0</v>
      </c>
      <c r="O11" s="11">
        <f>SUMIF(KysymyksetTaulukko3[HV], "x",KysymyksetTaulukko3[Pisteet])</f>
        <v>0</v>
      </c>
    </row>
    <row r="12" spans="2:15" ht="15.75" thickBot="1" x14ac:dyDescent="0.3">
      <c r="B12" s="29"/>
      <c r="C12" s="30"/>
      <c r="D12" s="30"/>
      <c r="E12" s="30"/>
      <c r="F12" s="30"/>
      <c r="G12" s="30"/>
      <c r="H12" s="30"/>
      <c r="I12" s="30"/>
      <c r="J12" s="31"/>
      <c r="M12" s="11" t="s">
        <v>262</v>
      </c>
      <c r="N12" s="11">
        <f>SUM(N9:N11)</f>
        <v>0</v>
      </c>
      <c r="O12" s="11">
        <f>SUM(O9:O11)</f>
        <v>0</v>
      </c>
    </row>
    <row r="45" spans="3:7" x14ac:dyDescent="0.25">
      <c r="C45" t="s">
        <v>251</v>
      </c>
    </row>
    <row r="46" spans="3:7" x14ac:dyDescent="0.25">
      <c r="E46" t="s">
        <v>7</v>
      </c>
      <c r="F46" t="s">
        <v>80</v>
      </c>
      <c r="G46" t="s">
        <v>123</v>
      </c>
    </row>
    <row r="47" spans="3:7" x14ac:dyDescent="0.25">
      <c r="C47" t="s">
        <v>247</v>
      </c>
      <c r="E47">
        <f>SUM(KysymyksetTaulukko[Onko vastattu])</f>
        <v>0</v>
      </c>
      <c r="F47">
        <f>SUM(KysymyksetTaulukko2[Onko vastattu])</f>
        <v>0</v>
      </c>
      <c r="G47">
        <f>SUM(KysymyksetTaulukko3[Onko vastattu])</f>
        <v>0</v>
      </c>
    </row>
    <row r="48" spans="3:7" x14ac:dyDescent="0.25">
      <c r="C48" t="s">
        <v>248</v>
      </c>
      <c r="E48">
        <f>SUM(KysymyksetTaulukko[Maksimipisteet])</f>
        <v>0</v>
      </c>
      <c r="F48">
        <f>SUM(KysymyksetTaulukko2[Maksimipisteet])</f>
        <v>0</v>
      </c>
      <c r="G48">
        <f>SUM(KysymyksetTaulukko3[Maksimipisteet])</f>
        <v>0</v>
      </c>
    </row>
    <row r="49" spans="3:7" x14ac:dyDescent="0.25">
      <c r="C49" t="s">
        <v>249</v>
      </c>
      <c r="E49" s="117">
        <f>ROUND(IFERROR(E47/E48,0),2)*100</f>
        <v>0</v>
      </c>
      <c r="F49" s="117">
        <f>ROUND(IFERROR(F47/F48,0),2)*100</f>
        <v>0</v>
      </c>
      <c r="G49" s="117">
        <f>ROUND(IFERROR(G47/G48,0),2)*100</f>
        <v>0</v>
      </c>
    </row>
    <row r="51" spans="3:7" x14ac:dyDescent="0.25">
      <c r="C51" t="str">
        <f>CONCATENATE("Vastattu "&amp;'TEKNINEN - TulostenLasku'!$E$49&amp;" %:iin vesilaitostanne koskevista pakollisista kysymyksistä.")</f>
        <v>Vastattu 0 %:iin vesilaitostanne koskevista pakollisista kysymyksistä.</v>
      </c>
    </row>
    <row r="52" spans="3:7" x14ac:dyDescent="0.25">
      <c r="C52" t="str">
        <f>CONCATENATE("Vastattu "&amp;'TEKNINEN - TulostenLasku'!$F$49&amp;" %:iin vesilaitostanne koskevista pakollisista kysymyksistä.")</f>
        <v>Vastattu 0 %:iin vesilaitostanne koskevista pakollisista kysymyksistä.</v>
      </c>
    </row>
    <row r="53" spans="3:7" x14ac:dyDescent="0.25">
      <c r="C53" t="str">
        <f>CONCATENATE("Vastattu "&amp;'TEKNINEN - TulostenLasku'!$G$49&amp;" %:iin vesilaitostanne koskevista pakollisista kysymyksistä.")</f>
        <v>Vastattu 0 %:iin vesilaitostanne koskevista pakollisista kysymyksistä.</v>
      </c>
    </row>
  </sheetData>
  <conditionalFormatting sqref="I7:I11">
    <cfRule type="containsText" dxfId="16" priority="6" operator="containsText" text="Erittäin huono">
      <formula>NOT(ISERROR(SEARCH("Erittäin huono",I7)))</formula>
    </cfRule>
    <cfRule type="containsText" dxfId="15" priority="7" operator="containsText" text="Huono">
      <formula>NOT(ISERROR(SEARCH("Huono",I7)))</formula>
    </cfRule>
    <cfRule type="containsText" dxfId="14" priority="8" operator="containsText" text="Korjattavaa">
      <formula>NOT(ISERROR(SEARCH("Korjattavaa",I7)))</formula>
    </cfRule>
    <cfRule type="containsText" dxfId="13" priority="9" operator="containsText" text="Hyvä">
      <formula>NOT(ISERROR(SEARCH("Hyvä",I7)))</formula>
    </cfRule>
    <cfRule type="containsText" dxfId="12" priority="10" operator="containsText" text="Erinomainen">
      <formula>NOT(ISERROR(SEARCH("Erinomainen",I7)))</formula>
    </cfRule>
  </conditionalFormatting>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753E-8534-4D40-9C7A-C73D073E94BB}">
  <sheetPr>
    <tabColor rgb="FFEEB36D"/>
  </sheetPr>
  <dimension ref="A1:R44"/>
  <sheetViews>
    <sheetView showGridLines="0" workbookViewId="0">
      <selection activeCell="A45" sqref="A45"/>
    </sheetView>
  </sheetViews>
  <sheetFormatPr defaultRowHeight="15" x14ac:dyDescent="0.25"/>
  <cols>
    <col min="2" max="2" width="3.85546875" customWidth="1"/>
    <col min="3" max="3" width="29.140625" customWidth="1"/>
    <col min="4" max="4" width="19.140625" customWidth="1"/>
    <col min="5" max="6" width="12.140625" customWidth="1"/>
    <col min="7" max="7" width="9.5703125" customWidth="1"/>
    <col min="8" max="8" width="10.85546875" customWidth="1"/>
    <col min="11" max="11" width="16.140625" customWidth="1"/>
    <col min="12" max="12" width="13.85546875" customWidth="1"/>
    <col min="13" max="13" width="10.85546875" customWidth="1"/>
  </cols>
  <sheetData>
    <row r="1" spans="1:18" x14ac:dyDescent="0.25">
      <c r="A1" s="54"/>
      <c r="B1" s="54"/>
      <c r="C1" s="54"/>
      <c r="D1" s="54"/>
      <c r="E1" s="54"/>
      <c r="F1" s="54"/>
      <c r="G1" s="54"/>
      <c r="H1" s="54"/>
      <c r="I1" s="54"/>
      <c r="J1" s="54"/>
      <c r="K1" s="54"/>
      <c r="L1" s="54"/>
      <c r="M1" s="54"/>
      <c r="N1" s="54"/>
      <c r="O1" s="54"/>
      <c r="P1" s="54"/>
      <c r="Q1" s="54"/>
      <c r="R1" s="54"/>
    </row>
    <row r="2" spans="1:18" ht="26.25" x14ac:dyDescent="0.4">
      <c r="A2" s="54"/>
      <c r="B2" s="56" t="s">
        <v>246</v>
      </c>
      <c r="C2" s="54"/>
      <c r="D2" s="54"/>
      <c r="E2" s="54"/>
      <c r="F2" s="54"/>
      <c r="G2" s="54"/>
      <c r="H2" s="54"/>
      <c r="I2" s="54"/>
      <c r="J2" s="54"/>
      <c r="K2" s="54"/>
      <c r="L2" s="54"/>
      <c r="M2" s="54"/>
      <c r="N2" s="54"/>
      <c r="O2" s="54"/>
      <c r="P2" s="54"/>
      <c r="Q2" s="54"/>
      <c r="R2" s="54"/>
    </row>
    <row r="3" spans="1:18" ht="15.75" thickBot="1" x14ac:dyDescent="0.3">
      <c r="A3" s="54"/>
      <c r="B3" s="54"/>
      <c r="C3" s="54"/>
      <c r="D3" s="54"/>
      <c r="E3" s="54"/>
      <c r="F3" s="54"/>
      <c r="G3" s="54"/>
      <c r="H3" s="54"/>
      <c r="I3" s="54"/>
      <c r="J3" s="54"/>
      <c r="K3" s="54"/>
      <c r="L3" s="54"/>
      <c r="M3" s="54"/>
      <c r="N3" s="54"/>
      <c r="O3" s="54"/>
      <c r="P3" s="54"/>
      <c r="Q3" s="54"/>
      <c r="R3" s="54"/>
    </row>
    <row r="4" spans="1:18" x14ac:dyDescent="0.25">
      <c r="A4" s="54"/>
      <c r="B4" s="88"/>
      <c r="C4" s="89"/>
      <c r="D4" s="89"/>
      <c r="E4" s="89"/>
      <c r="F4" s="89"/>
      <c r="G4" s="89"/>
      <c r="H4" s="89"/>
      <c r="I4" s="90"/>
      <c r="J4" s="54"/>
      <c r="K4" s="54"/>
      <c r="L4" s="54"/>
      <c r="M4" s="54"/>
      <c r="N4" s="54"/>
      <c r="O4" s="54"/>
      <c r="P4" s="54"/>
      <c r="Q4" s="54"/>
      <c r="R4" s="54"/>
    </row>
    <row r="5" spans="1:18" ht="45.75" x14ac:dyDescent="0.3">
      <c r="A5" s="54"/>
      <c r="B5" s="91"/>
      <c r="C5" s="92" t="s">
        <v>2</v>
      </c>
      <c r="D5" s="94" t="s">
        <v>200</v>
      </c>
      <c r="E5" s="93" t="s">
        <v>198</v>
      </c>
      <c r="F5" s="93" t="s">
        <v>192</v>
      </c>
      <c r="G5" s="93" t="s">
        <v>201</v>
      </c>
      <c r="H5" s="93" t="s">
        <v>187</v>
      </c>
      <c r="I5" s="95"/>
      <c r="J5" s="54"/>
      <c r="K5" s="54"/>
      <c r="L5" s="54"/>
      <c r="M5" s="54"/>
      <c r="N5" s="54"/>
      <c r="O5" s="54"/>
      <c r="P5" s="54"/>
      <c r="Q5" s="54"/>
      <c r="R5" s="54"/>
    </row>
    <row r="6" spans="1:18" ht="18" customHeight="1" x14ac:dyDescent="0.25">
      <c r="A6" s="54"/>
      <c r="B6" s="91"/>
      <c r="C6" s="96" t="s">
        <v>7</v>
      </c>
      <c r="D6" s="99" t="str">
        <f>'TEKNINEN - TulostenLasku'!I7</f>
        <v>Ei vielä vastattu?</v>
      </c>
      <c r="E6" s="97">
        <f>'TEKNINEN - TulostenLasku'!D7</f>
        <v>0</v>
      </c>
      <c r="F6" s="97">
        <f>'TEKNINEN - TulostenLasku'!E7</f>
        <v>0</v>
      </c>
      <c r="G6" s="98">
        <f>'TEKNINEN - TulostenLasku'!G7</f>
        <v>0</v>
      </c>
      <c r="H6" s="98">
        <f>'TEKNINEN - TulostenLasku'!F7</f>
        <v>0</v>
      </c>
      <c r="I6" s="95"/>
      <c r="J6" s="54"/>
      <c r="K6" s="54"/>
      <c r="L6" s="54"/>
      <c r="M6" s="54"/>
      <c r="N6" s="54"/>
      <c r="O6" s="54"/>
      <c r="P6" s="54"/>
      <c r="Q6" s="54"/>
      <c r="R6" s="54"/>
    </row>
    <row r="7" spans="1:18" ht="18" customHeight="1" x14ac:dyDescent="0.25">
      <c r="A7" s="54"/>
      <c r="B7" s="91"/>
      <c r="C7" s="96" t="s">
        <v>80</v>
      </c>
      <c r="D7" s="99" t="str">
        <f>'TEKNINEN - TulostenLasku'!I8</f>
        <v>Ei vielä vastattu?</v>
      </c>
      <c r="E7" s="97">
        <f>'TEKNINEN - TulostenLasku'!D8</f>
        <v>0</v>
      </c>
      <c r="F7" s="97">
        <f>'TEKNINEN - TulostenLasku'!E8</f>
        <v>0</v>
      </c>
      <c r="G7" s="98">
        <f>'TEKNINEN - TulostenLasku'!G8</f>
        <v>0</v>
      </c>
      <c r="H7" s="98">
        <f>'TEKNINEN - TulostenLasku'!F8</f>
        <v>0</v>
      </c>
      <c r="I7" s="95"/>
      <c r="J7" s="54"/>
      <c r="K7" s="54"/>
      <c r="L7" s="54"/>
      <c r="M7" s="54"/>
      <c r="N7" s="54"/>
      <c r="O7" s="54"/>
      <c r="P7" s="54"/>
      <c r="Q7" s="54"/>
      <c r="R7" s="54"/>
    </row>
    <row r="8" spans="1:18" ht="18" customHeight="1" x14ac:dyDescent="0.25">
      <c r="A8" s="54"/>
      <c r="B8" s="91"/>
      <c r="C8" s="96" t="s">
        <v>123</v>
      </c>
      <c r="D8" s="99" t="str">
        <f>'TEKNINEN - TulostenLasku'!I9</f>
        <v>Ei vielä vastattu?</v>
      </c>
      <c r="E8" s="97">
        <f>'TEKNINEN - TulostenLasku'!D9</f>
        <v>0</v>
      </c>
      <c r="F8" s="97">
        <f>'TEKNINEN - TulostenLasku'!E9</f>
        <v>0</v>
      </c>
      <c r="G8" s="98">
        <f>'TEKNINEN - TulostenLasku'!G9</f>
        <v>0</v>
      </c>
      <c r="H8" s="98">
        <f>'TEKNINEN - TulostenLasku'!F9</f>
        <v>0</v>
      </c>
      <c r="I8" s="95"/>
      <c r="J8" s="54"/>
      <c r="K8" s="54"/>
      <c r="L8" s="54"/>
      <c r="M8" s="54"/>
      <c r="N8" s="54"/>
      <c r="O8" s="54"/>
      <c r="P8" s="54"/>
      <c r="Q8" s="54"/>
      <c r="R8" s="54"/>
    </row>
    <row r="9" spans="1:18" ht="18" customHeight="1" x14ac:dyDescent="0.25">
      <c r="A9" s="54"/>
      <c r="B9" s="91"/>
      <c r="C9" s="96" t="s">
        <v>5</v>
      </c>
      <c r="D9" s="99" t="str">
        <f>'TEKNINEN - TulostenLasku'!I10</f>
        <v>Ei vielä vastattu?</v>
      </c>
      <c r="E9" s="97">
        <f>'TEKNINEN - TulostenLasku'!D10</f>
        <v>0</v>
      </c>
      <c r="F9" s="97">
        <f>'TEKNINEN - TulostenLasku'!E10</f>
        <v>0</v>
      </c>
      <c r="G9" s="98">
        <f>'TEKNINEN - TulostenLasku'!G10</f>
        <v>0</v>
      </c>
      <c r="H9" s="98">
        <f>'TEKNINEN - TulostenLasku'!F10</f>
        <v>0</v>
      </c>
      <c r="I9" s="95"/>
      <c r="J9" s="54"/>
      <c r="K9" s="54"/>
      <c r="L9" s="54"/>
      <c r="M9" s="54"/>
      <c r="N9" s="54"/>
      <c r="O9" s="54"/>
      <c r="P9" s="54"/>
      <c r="Q9" s="54"/>
      <c r="R9" s="54"/>
    </row>
    <row r="10" spans="1:18" ht="18" customHeight="1" x14ac:dyDescent="0.3">
      <c r="A10" s="54"/>
      <c r="B10" s="91"/>
      <c r="C10" s="100"/>
      <c r="D10" s="103"/>
      <c r="E10" s="101"/>
      <c r="F10" s="101"/>
      <c r="G10" s="102"/>
      <c r="H10" s="102"/>
      <c r="I10" s="95"/>
      <c r="J10" s="54"/>
      <c r="K10" s="55"/>
      <c r="L10" s="54"/>
      <c r="M10" s="54"/>
      <c r="N10" s="54"/>
      <c r="O10" s="54"/>
      <c r="P10" s="54"/>
      <c r="Q10" s="54"/>
      <c r="R10" s="54"/>
    </row>
    <row r="11" spans="1:18" ht="15.75" thickBot="1" x14ac:dyDescent="0.3">
      <c r="A11" s="54"/>
      <c r="B11" s="104"/>
      <c r="C11" s="105"/>
      <c r="D11" s="105"/>
      <c r="E11" s="105"/>
      <c r="F11" s="105"/>
      <c r="G11" s="105"/>
      <c r="H11" s="105"/>
      <c r="I11" s="106"/>
      <c r="J11" s="54"/>
      <c r="K11" s="54"/>
      <c r="L11" s="54"/>
      <c r="M11" s="54"/>
      <c r="N11" s="54"/>
      <c r="O11" s="54"/>
      <c r="P11" s="54"/>
      <c r="Q11" s="54"/>
      <c r="R11" s="54"/>
    </row>
    <row r="12" spans="1:18" x14ac:dyDescent="0.25">
      <c r="A12" s="54"/>
      <c r="B12" s="144"/>
      <c r="C12" s="54"/>
      <c r="D12" s="54"/>
      <c r="E12" s="54"/>
      <c r="F12" s="54"/>
      <c r="G12" s="54"/>
      <c r="H12" s="54"/>
      <c r="I12" s="54"/>
      <c r="J12" s="54"/>
      <c r="K12" s="54"/>
      <c r="L12" s="54"/>
      <c r="M12" s="54"/>
      <c r="N12" s="54"/>
      <c r="O12" s="54"/>
      <c r="P12" s="54"/>
      <c r="Q12" s="54"/>
      <c r="R12" s="54"/>
    </row>
    <row r="13" spans="1:18" ht="15.75" x14ac:dyDescent="0.25">
      <c r="A13" s="54"/>
      <c r="B13" s="145" t="s">
        <v>260</v>
      </c>
      <c r="C13" s="54"/>
      <c r="D13" s="54"/>
      <c r="E13" s="54"/>
      <c r="F13" s="54"/>
      <c r="G13" s="54"/>
      <c r="H13" s="54"/>
      <c r="I13" s="54"/>
      <c r="J13" s="54"/>
      <c r="K13" s="82" t="s">
        <v>188</v>
      </c>
      <c r="L13" s="83">
        <v>1</v>
      </c>
      <c r="M13" s="84" t="s">
        <v>189</v>
      </c>
      <c r="N13" s="85"/>
      <c r="O13" s="86"/>
      <c r="P13" s="86"/>
      <c r="Q13" s="87"/>
      <c r="R13" s="54"/>
    </row>
    <row r="14" spans="1:18" ht="15.75" x14ac:dyDescent="0.25">
      <c r="A14" s="54"/>
      <c r="B14" s="156"/>
      <c r="C14" s="157" t="s">
        <v>7</v>
      </c>
      <c r="D14" s="148" t="str">
        <f>'TEKNINEN - TulostenLasku'!$C$51</f>
        <v>Vastattu 0 %:iin vesilaitostanne koskevista pakollisista kysymyksistä.</v>
      </c>
      <c r="E14" s="148"/>
      <c r="F14" s="148"/>
      <c r="G14" s="148"/>
      <c r="H14" s="148"/>
      <c r="I14" s="149" t="str">
        <f>IF('TEKNINEN - TulostenLasku'!$E$49=100,"Valmis","Kesken")</f>
        <v>Kesken</v>
      </c>
      <c r="J14" s="54"/>
      <c r="K14" s="82" t="s">
        <v>190</v>
      </c>
      <c r="L14" s="85" t="s">
        <v>191</v>
      </c>
      <c r="M14" s="84" t="s">
        <v>257</v>
      </c>
      <c r="N14" s="85"/>
      <c r="O14" s="86"/>
      <c r="P14" s="86"/>
      <c r="Q14" s="86"/>
      <c r="R14" s="54"/>
    </row>
    <row r="15" spans="1:18" ht="15.75" x14ac:dyDescent="0.25">
      <c r="A15" s="54"/>
      <c r="B15" s="150"/>
      <c r="C15" s="146" t="s">
        <v>80</v>
      </c>
      <c r="D15" s="54" t="str">
        <f>'TEKNINEN - TulostenLasku'!$C$52</f>
        <v>Vastattu 0 %:iin vesilaitostanne koskevista pakollisista kysymyksistä.</v>
      </c>
      <c r="E15" s="54"/>
      <c r="F15" s="54"/>
      <c r="G15" s="54"/>
      <c r="H15" s="54"/>
      <c r="I15" s="151" t="str">
        <f>IF('TEKNINEN - TulostenLasku'!$F$49=100,"Valmis","Kesken")</f>
        <v>Kesken</v>
      </c>
      <c r="J15" s="54"/>
      <c r="K15" s="82" t="s">
        <v>192</v>
      </c>
      <c r="L15" s="85" t="s">
        <v>193</v>
      </c>
      <c r="M15" s="84" t="s">
        <v>257</v>
      </c>
      <c r="N15" s="85"/>
      <c r="O15" s="86"/>
      <c r="P15" s="86"/>
      <c r="Q15" s="86"/>
      <c r="R15" s="54"/>
    </row>
    <row r="16" spans="1:18" ht="15.75" x14ac:dyDescent="0.25">
      <c r="A16" s="54"/>
      <c r="B16" s="152"/>
      <c r="C16" s="153" t="s">
        <v>123</v>
      </c>
      <c r="D16" s="154" t="str">
        <f>'TEKNINEN - TulostenLasku'!$C$53</f>
        <v>Vastattu 0 %:iin vesilaitostanne koskevista pakollisista kysymyksistä.</v>
      </c>
      <c r="E16" s="154"/>
      <c r="F16" s="154"/>
      <c r="G16" s="154"/>
      <c r="H16" s="154"/>
      <c r="I16" s="155" t="str">
        <f>IF('TEKNINEN - TulostenLasku'!$G$49=100,"Valmis","Kesken")</f>
        <v>Kesken</v>
      </c>
      <c r="J16" s="54"/>
      <c r="K16" s="82" t="s">
        <v>194</v>
      </c>
      <c r="L16" s="85" t="s">
        <v>195</v>
      </c>
      <c r="M16" s="84" t="s">
        <v>257</v>
      </c>
      <c r="N16" s="85"/>
      <c r="O16" s="86"/>
      <c r="P16" s="86"/>
      <c r="Q16" s="86"/>
      <c r="R16" s="54"/>
    </row>
    <row r="17" spans="1:18" ht="15.75" x14ac:dyDescent="0.25">
      <c r="A17" s="54"/>
      <c r="B17" s="54"/>
      <c r="C17" s="146"/>
      <c r="D17" s="54"/>
      <c r="E17" s="54"/>
      <c r="F17" s="54"/>
      <c r="G17" s="54"/>
      <c r="H17" s="54"/>
      <c r="I17" s="54"/>
      <c r="J17" s="54"/>
      <c r="K17" s="82" t="s">
        <v>196</v>
      </c>
      <c r="L17" s="85" t="s">
        <v>197</v>
      </c>
      <c r="M17" s="84" t="s">
        <v>257</v>
      </c>
      <c r="N17" s="85"/>
      <c r="O17" s="86"/>
      <c r="P17" s="86"/>
      <c r="Q17" s="86"/>
      <c r="R17" s="54"/>
    </row>
    <row r="18" spans="1:18" x14ac:dyDescent="0.25">
      <c r="A18" s="54"/>
      <c r="B18" s="54"/>
      <c r="C18" s="54"/>
      <c r="D18" s="54"/>
      <c r="E18" s="54"/>
      <c r="F18" s="54"/>
      <c r="G18" s="54"/>
      <c r="H18" s="54"/>
      <c r="I18" s="54"/>
      <c r="J18" s="54"/>
      <c r="K18" s="54"/>
      <c r="L18" s="54"/>
      <c r="M18" s="54"/>
      <c r="N18" s="54"/>
      <c r="O18" s="54"/>
      <c r="P18" s="54"/>
      <c r="Q18" s="54"/>
      <c r="R18" s="54"/>
    </row>
    <row r="19" spans="1:18" x14ac:dyDescent="0.25">
      <c r="A19" s="54"/>
      <c r="B19" s="54"/>
      <c r="C19" s="54"/>
      <c r="D19" s="54"/>
      <c r="E19" s="54"/>
      <c r="F19" s="54"/>
      <c r="G19" s="54"/>
      <c r="H19" s="54"/>
      <c r="I19" s="54"/>
      <c r="J19" s="54"/>
      <c r="K19" s="54"/>
      <c r="L19" s="54"/>
      <c r="M19" s="54"/>
      <c r="N19" s="54"/>
      <c r="O19" s="54"/>
      <c r="P19" s="54"/>
      <c r="Q19" s="54"/>
      <c r="R19" s="54"/>
    </row>
    <row r="20" spans="1:18" x14ac:dyDescent="0.25">
      <c r="A20" s="54"/>
      <c r="B20" s="54"/>
      <c r="C20" s="54"/>
      <c r="D20" s="54"/>
      <c r="E20" s="54"/>
      <c r="F20" s="54"/>
      <c r="G20" s="54"/>
      <c r="H20" s="54"/>
      <c r="I20" s="54"/>
      <c r="J20" s="54"/>
      <c r="K20" s="54"/>
      <c r="L20" s="54"/>
      <c r="M20" s="54"/>
      <c r="N20" s="54"/>
      <c r="O20" s="54"/>
      <c r="P20" s="54"/>
      <c r="Q20" s="54"/>
      <c r="R20" s="54"/>
    </row>
    <row r="21" spans="1:18" x14ac:dyDescent="0.25">
      <c r="A21" s="54"/>
      <c r="B21" s="54"/>
      <c r="C21" s="54"/>
      <c r="D21" s="54"/>
      <c r="E21" s="54"/>
      <c r="F21" s="54"/>
      <c r="G21" s="54"/>
      <c r="H21" s="54"/>
      <c r="I21" s="54"/>
      <c r="J21" s="54"/>
      <c r="K21" s="54"/>
      <c r="L21" s="54"/>
      <c r="M21" s="54"/>
      <c r="N21" s="54"/>
      <c r="O21" s="54"/>
      <c r="P21" s="54"/>
      <c r="Q21" s="54"/>
      <c r="R21" s="54"/>
    </row>
    <row r="22" spans="1:18" x14ac:dyDescent="0.25">
      <c r="A22" s="54"/>
      <c r="B22" s="54"/>
      <c r="C22" s="54"/>
      <c r="D22" s="54"/>
      <c r="E22" s="54"/>
      <c r="F22" s="54"/>
      <c r="G22" s="54"/>
      <c r="H22" s="54"/>
      <c r="I22" s="54"/>
      <c r="J22" s="54"/>
      <c r="K22" s="54"/>
      <c r="L22" s="54"/>
      <c r="M22" s="54"/>
      <c r="N22" s="54"/>
      <c r="O22" s="54"/>
      <c r="P22" s="54"/>
      <c r="Q22" s="54"/>
      <c r="R22" s="54"/>
    </row>
    <row r="23" spans="1:18" x14ac:dyDescent="0.25">
      <c r="A23" s="54"/>
      <c r="B23" s="54"/>
      <c r="C23" s="54"/>
      <c r="D23" s="54"/>
      <c r="E23" s="54"/>
      <c r="F23" s="54"/>
      <c r="G23" s="54"/>
      <c r="H23" s="54"/>
      <c r="I23" s="54"/>
      <c r="J23" s="54"/>
      <c r="K23" s="54"/>
      <c r="L23" s="54"/>
      <c r="M23" s="54"/>
      <c r="N23" s="54"/>
      <c r="O23" s="54"/>
      <c r="P23" s="54"/>
      <c r="Q23" s="54"/>
      <c r="R23" s="54"/>
    </row>
    <row r="24" spans="1:18" x14ac:dyDescent="0.25">
      <c r="A24" s="54"/>
      <c r="B24" s="54"/>
      <c r="C24" s="54"/>
      <c r="D24" s="54"/>
      <c r="E24" s="54"/>
      <c r="F24" s="54"/>
      <c r="G24" s="54"/>
      <c r="H24" s="54"/>
      <c r="I24" s="54"/>
      <c r="J24" s="54"/>
      <c r="K24" s="54"/>
      <c r="L24" s="54"/>
      <c r="M24" s="54"/>
      <c r="N24" s="54"/>
      <c r="O24" s="54"/>
      <c r="P24" s="54"/>
      <c r="Q24" s="54"/>
      <c r="R24" s="54"/>
    </row>
    <row r="25" spans="1:18" x14ac:dyDescent="0.25">
      <c r="A25" s="54"/>
      <c r="B25" s="54"/>
      <c r="C25" s="54"/>
      <c r="D25" s="54"/>
      <c r="E25" s="54"/>
      <c r="F25" s="54"/>
      <c r="G25" s="54"/>
      <c r="H25" s="54"/>
      <c r="I25" s="54"/>
      <c r="J25" s="54"/>
      <c r="K25" s="54"/>
      <c r="L25" s="54"/>
      <c r="M25" s="54"/>
      <c r="N25" s="54"/>
      <c r="O25" s="54"/>
      <c r="P25" s="54"/>
      <c r="Q25" s="54"/>
      <c r="R25" s="54"/>
    </row>
    <row r="26" spans="1:18" x14ac:dyDescent="0.25">
      <c r="A26" s="54"/>
      <c r="B26" s="54"/>
      <c r="C26" s="54"/>
      <c r="D26" s="54"/>
      <c r="E26" s="54"/>
      <c r="F26" s="54"/>
      <c r="G26" s="54"/>
      <c r="H26" s="54"/>
      <c r="I26" s="54"/>
      <c r="J26" s="54"/>
      <c r="K26" s="54"/>
      <c r="L26" s="54"/>
      <c r="M26" s="54"/>
      <c r="N26" s="54"/>
      <c r="O26" s="54"/>
      <c r="P26" s="54"/>
      <c r="Q26" s="54"/>
      <c r="R26" s="54"/>
    </row>
    <row r="27" spans="1:18" x14ac:dyDescent="0.25">
      <c r="A27" s="54"/>
      <c r="B27" s="54"/>
      <c r="C27" s="54"/>
      <c r="D27" s="54"/>
      <c r="E27" s="54"/>
      <c r="F27" s="54"/>
      <c r="G27" s="54"/>
      <c r="H27" s="54"/>
      <c r="I27" s="54"/>
      <c r="J27" s="54"/>
      <c r="K27" s="54"/>
      <c r="L27" s="54"/>
      <c r="M27" s="54"/>
      <c r="N27" s="54"/>
      <c r="O27" s="54"/>
      <c r="P27" s="54"/>
      <c r="Q27" s="54"/>
      <c r="R27" s="54"/>
    </row>
    <row r="28" spans="1:18" x14ac:dyDescent="0.25">
      <c r="A28" s="54"/>
      <c r="B28" s="54"/>
      <c r="C28" s="54"/>
      <c r="D28" s="54"/>
      <c r="E28" s="54"/>
      <c r="F28" s="54"/>
      <c r="G28" s="54"/>
      <c r="H28" s="54"/>
      <c r="I28" s="54"/>
      <c r="J28" s="54"/>
      <c r="K28" s="54"/>
      <c r="L28" s="54"/>
      <c r="M28" s="54"/>
      <c r="N28" s="54"/>
      <c r="O28" s="54"/>
      <c r="P28" s="54"/>
      <c r="Q28" s="54"/>
      <c r="R28" s="54"/>
    </row>
    <row r="29" spans="1:18" x14ac:dyDescent="0.25">
      <c r="A29" s="54"/>
      <c r="B29" s="54"/>
      <c r="C29" s="54"/>
      <c r="D29" s="54"/>
      <c r="E29" s="54"/>
      <c r="F29" s="54"/>
      <c r="G29" s="54"/>
      <c r="H29" s="54"/>
      <c r="I29" s="54"/>
      <c r="J29" s="54"/>
      <c r="K29" s="54"/>
      <c r="L29" s="54"/>
      <c r="M29" s="54"/>
      <c r="N29" s="54"/>
      <c r="O29" s="54"/>
      <c r="P29" s="54"/>
      <c r="Q29" s="54"/>
      <c r="R29" s="54"/>
    </row>
    <row r="30" spans="1:18" x14ac:dyDescent="0.25">
      <c r="A30" s="54"/>
      <c r="B30" s="54"/>
      <c r="C30" s="54"/>
      <c r="D30" s="54"/>
      <c r="E30" s="54"/>
      <c r="F30" s="54"/>
      <c r="G30" s="54"/>
      <c r="H30" s="54"/>
      <c r="I30" s="54"/>
      <c r="J30" s="54"/>
      <c r="K30" s="54"/>
      <c r="L30" s="54"/>
      <c r="M30" s="54"/>
      <c r="N30" s="54"/>
      <c r="O30" s="54"/>
      <c r="P30" s="54"/>
      <c r="Q30" s="54"/>
      <c r="R30" s="54"/>
    </row>
    <row r="31" spans="1:18" x14ac:dyDescent="0.25">
      <c r="A31" s="54"/>
      <c r="B31" s="54"/>
      <c r="C31" s="54"/>
      <c r="D31" s="54"/>
      <c r="E31" s="54"/>
      <c r="F31" s="54"/>
      <c r="G31" s="54"/>
      <c r="H31" s="54"/>
      <c r="I31" s="54"/>
      <c r="J31" s="54"/>
      <c r="K31" s="54"/>
      <c r="L31" s="54"/>
      <c r="M31" s="54"/>
      <c r="N31" s="54"/>
      <c r="O31" s="54"/>
      <c r="P31" s="54"/>
      <c r="Q31" s="54"/>
      <c r="R31" s="54"/>
    </row>
    <row r="32" spans="1:18" x14ac:dyDescent="0.25">
      <c r="A32" s="54"/>
      <c r="B32" s="54"/>
      <c r="C32" s="54"/>
      <c r="D32" s="54"/>
      <c r="E32" s="54"/>
      <c r="F32" s="54"/>
      <c r="G32" s="54"/>
      <c r="H32" s="54"/>
      <c r="I32" s="54"/>
      <c r="J32" s="54"/>
      <c r="K32" s="54"/>
      <c r="L32" s="54"/>
      <c r="M32" s="54"/>
      <c r="N32" s="54"/>
      <c r="O32" s="54"/>
      <c r="P32" s="54"/>
      <c r="Q32" s="54"/>
      <c r="R32" s="54"/>
    </row>
    <row r="33" spans="1:18" x14ac:dyDescent="0.25">
      <c r="A33" s="54"/>
      <c r="B33" s="54"/>
      <c r="C33" s="54"/>
      <c r="D33" s="54"/>
      <c r="E33" s="54"/>
      <c r="F33" s="54"/>
      <c r="G33" s="54"/>
      <c r="H33" s="54"/>
      <c r="I33" s="54"/>
      <c r="J33" s="54"/>
      <c r="K33" s="54"/>
      <c r="L33" s="54"/>
      <c r="M33" s="54"/>
      <c r="N33" s="54"/>
      <c r="O33" s="54"/>
      <c r="P33" s="54"/>
      <c r="Q33" s="54"/>
      <c r="R33" s="54"/>
    </row>
    <row r="34" spans="1:18" x14ac:dyDescent="0.25">
      <c r="A34" s="54"/>
      <c r="B34" s="54"/>
      <c r="C34" s="54"/>
      <c r="D34" s="54"/>
      <c r="E34" s="54"/>
      <c r="F34" s="54"/>
      <c r="G34" s="54"/>
      <c r="H34" s="54"/>
      <c r="I34" s="54"/>
      <c r="J34" s="54"/>
      <c r="K34" s="54"/>
      <c r="L34" s="54"/>
      <c r="M34" s="54"/>
      <c r="N34" s="54"/>
      <c r="O34" s="54"/>
      <c r="P34" s="54"/>
      <c r="Q34" s="54"/>
      <c r="R34" s="54"/>
    </row>
    <row r="35" spans="1:18" x14ac:dyDescent="0.25">
      <c r="A35" s="54"/>
      <c r="B35" s="54"/>
      <c r="C35" s="54"/>
      <c r="D35" s="54"/>
      <c r="E35" s="54"/>
      <c r="F35" s="54"/>
      <c r="G35" s="54"/>
      <c r="H35" s="54"/>
      <c r="I35" s="54"/>
      <c r="J35" s="54"/>
      <c r="K35" s="54"/>
      <c r="L35" s="54"/>
      <c r="M35" s="54"/>
      <c r="N35" s="54"/>
      <c r="O35" s="54"/>
      <c r="P35" s="54"/>
      <c r="Q35" s="54"/>
      <c r="R35" s="54"/>
    </row>
    <row r="36" spans="1:18" x14ac:dyDescent="0.25">
      <c r="A36" s="54"/>
      <c r="B36" s="54"/>
      <c r="C36" s="54"/>
      <c r="D36" s="54"/>
      <c r="E36" s="54"/>
      <c r="F36" s="54"/>
      <c r="G36" s="54"/>
      <c r="H36" s="54"/>
      <c r="I36" s="54"/>
      <c r="J36" s="54"/>
      <c r="K36" s="54"/>
      <c r="L36" s="54"/>
      <c r="M36" s="54"/>
      <c r="N36" s="54"/>
      <c r="O36" s="54"/>
      <c r="P36" s="54"/>
      <c r="Q36" s="54"/>
      <c r="R36" s="54"/>
    </row>
    <row r="37" spans="1:18" x14ac:dyDescent="0.25">
      <c r="A37" s="54"/>
      <c r="B37" s="54"/>
      <c r="C37" s="54"/>
      <c r="D37" s="54"/>
      <c r="E37" s="54"/>
      <c r="F37" s="54"/>
      <c r="G37" s="54"/>
      <c r="H37" s="54"/>
      <c r="I37" s="54"/>
      <c r="J37" s="54"/>
      <c r="K37" s="54"/>
      <c r="L37" s="54"/>
      <c r="M37" s="54"/>
      <c r="N37" s="54"/>
      <c r="O37" s="54"/>
      <c r="P37" s="54"/>
      <c r="Q37" s="54"/>
      <c r="R37" s="54"/>
    </row>
    <row r="38" spans="1:18" x14ac:dyDescent="0.25">
      <c r="A38" s="54"/>
      <c r="B38" s="54"/>
      <c r="C38" s="54"/>
      <c r="D38" s="54"/>
      <c r="E38" s="54"/>
      <c r="F38" s="54"/>
      <c r="G38" s="54"/>
      <c r="H38" s="54"/>
      <c r="I38" s="54"/>
      <c r="J38" s="54"/>
      <c r="K38" s="54"/>
      <c r="L38" s="54"/>
      <c r="M38" s="54"/>
      <c r="N38" s="54"/>
      <c r="O38" s="54"/>
      <c r="P38" s="54"/>
      <c r="Q38" s="54"/>
      <c r="R38" s="54"/>
    </row>
    <row r="39" spans="1:18" x14ac:dyDescent="0.25">
      <c r="A39" s="54"/>
      <c r="B39" s="54"/>
      <c r="C39" s="54"/>
      <c r="D39" s="54"/>
      <c r="E39" s="54"/>
      <c r="F39" s="54"/>
      <c r="G39" s="54"/>
      <c r="H39" s="54"/>
      <c r="I39" s="54"/>
      <c r="J39" s="54"/>
      <c r="K39" s="54"/>
      <c r="L39" s="54"/>
      <c r="M39" s="54"/>
      <c r="N39" s="54"/>
      <c r="O39" s="54"/>
      <c r="P39" s="54"/>
      <c r="Q39" s="54"/>
      <c r="R39" s="54"/>
    </row>
    <row r="40" spans="1:18" x14ac:dyDescent="0.25">
      <c r="A40" s="54"/>
      <c r="B40" s="54"/>
      <c r="C40" s="54"/>
      <c r="D40" s="54"/>
      <c r="E40" s="54"/>
      <c r="F40" s="54"/>
      <c r="G40" s="54"/>
      <c r="H40" s="54"/>
      <c r="I40" s="54"/>
      <c r="J40" s="54"/>
      <c r="K40" s="54"/>
      <c r="L40" s="54"/>
      <c r="M40" s="54"/>
      <c r="N40" s="54"/>
      <c r="O40" s="54"/>
      <c r="P40" s="54"/>
      <c r="Q40" s="54"/>
      <c r="R40" s="54"/>
    </row>
    <row r="41" spans="1:18" x14ac:dyDescent="0.25">
      <c r="A41" s="54"/>
      <c r="B41" s="54"/>
      <c r="C41" s="54"/>
      <c r="D41" s="54"/>
      <c r="E41" s="54"/>
      <c r="F41" s="54"/>
      <c r="G41" s="54"/>
      <c r="H41" s="54"/>
      <c r="I41" s="54"/>
      <c r="J41" s="54"/>
      <c r="K41" s="54"/>
      <c r="L41" s="54"/>
      <c r="M41" s="54"/>
      <c r="N41" s="54"/>
      <c r="O41" s="54"/>
      <c r="P41" s="54"/>
      <c r="Q41" s="54"/>
      <c r="R41" s="54"/>
    </row>
    <row r="42" spans="1:18" x14ac:dyDescent="0.25">
      <c r="A42" s="54"/>
      <c r="B42" s="54"/>
      <c r="C42" s="54"/>
      <c r="D42" s="54"/>
      <c r="E42" s="54"/>
      <c r="F42" s="54"/>
      <c r="G42" s="54"/>
      <c r="H42" s="54"/>
      <c r="I42" s="54"/>
      <c r="J42" s="54"/>
      <c r="K42" s="54"/>
      <c r="L42" s="54"/>
      <c r="M42" s="54"/>
      <c r="N42" s="54"/>
      <c r="O42" s="54"/>
      <c r="P42" s="54"/>
      <c r="Q42" s="54"/>
      <c r="R42" s="54"/>
    </row>
    <row r="43" spans="1:18" x14ac:dyDescent="0.25">
      <c r="A43" s="54"/>
      <c r="B43" s="54"/>
      <c r="C43" s="54"/>
      <c r="D43" s="54"/>
      <c r="E43" s="54"/>
      <c r="F43" s="54"/>
      <c r="G43" s="54"/>
      <c r="H43" s="54"/>
      <c r="I43" s="54"/>
      <c r="J43" s="54"/>
      <c r="K43" s="54"/>
      <c r="L43" s="54"/>
      <c r="M43" s="54"/>
      <c r="N43" s="54"/>
      <c r="O43" s="54"/>
      <c r="P43" s="54"/>
      <c r="Q43" s="54"/>
      <c r="R43" s="54"/>
    </row>
    <row r="44" spans="1:18" x14ac:dyDescent="0.25">
      <c r="A44" s="54"/>
      <c r="B44" s="54"/>
      <c r="C44" s="54"/>
      <c r="D44" s="54"/>
      <c r="E44" s="54"/>
      <c r="F44" s="54"/>
      <c r="G44" s="54"/>
      <c r="H44" s="54"/>
      <c r="I44" s="54"/>
      <c r="J44" s="54"/>
      <c r="K44" s="54"/>
      <c r="L44" s="54"/>
      <c r="M44" s="54"/>
      <c r="N44" s="54"/>
      <c r="O44" s="54"/>
      <c r="P44" s="54"/>
      <c r="Q44" s="54"/>
      <c r="R44" s="54"/>
    </row>
  </sheetData>
  <conditionalFormatting sqref="D6:D9">
    <cfRule type="containsText" dxfId="11" priority="8" operator="containsText" text="Erittäin huono">
      <formula>NOT(ISERROR(SEARCH("Erittäin huono",D6)))</formula>
    </cfRule>
    <cfRule type="containsText" dxfId="10" priority="9" operator="containsText" text="Huono">
      <formula>NOT(ISERROR(SEARCH("Huono",D6)))</formula>
    </cfRule>
    <cfRule type="containsText" dxfId="9" priority="10" operator="containsText" text="Korjattavaa">
      <formula>NOT(ISERROR(SEARCH("Korjattavaa",D6)))</formula>
    </cfRule>
    <cfRule type="containsText" dxfId="8" priority="11" operator="containsText" text="Hyvä">
      <formula>NOT(ISERROR(SEARCH("Hyvä",D6)))</formula>
    </cfRule>
    <cfRule type="containsText" dxfId="7" priority="12" operator="containsText" text="Erinomainen">
      <formula>NOT(ISERROR(SEARCH("Erinomainen",D6)))</formula>
    </cfRule>
  </conditionalFormatting>
  <conditionalFormatting sqref="I14:I16">
    <cfRule type="containsText" dxfId="6" priority="1" operator="containsText" text="Valmis">
      <formula>NOT(ISERROR(SEARCH("Valmis",I14)))</formula>
    </cfRule>
    <cfRule type="containsText" dxfId="5" priority="2" operator="containsText" text="Kesken">
      <formula>NOT(ISERROR(SEARCH("Kesken",I14)))</formula>
    </cfRule>
  </conditionalFormatting>
  <conditionalFormatting sqref="K13:K17">
    <cfRule type="containsText" dxfId="4" priority="3" operator="containsText" text="Erittäin huono">
      <formula>NOT(ISERROR(SEARCH("Erittäin huono",K13)))</formula>
    </cfRule>
    <cfRule type="containsText" dxfId="3" priority="4" operator="containsText" text="Huono">
      <formula>NOT(ISERROR(SEARCH("Huono",K13)))</formula>
    </cfRule>
    <cfRule type="containsText" dxfId="2" priority="5" operator="containsText" text="Korjattavaa">
      <formula>NOT(ISERROR(SEARCH("Korjattavaa",K13)))</formula>
    </cfRule>
    <cfRule type="containsText" dxfId="1" priority="6" operator="containsText" text="Hyvä">
      <formula>NOT(ISERROR(SEARCH("Hyvä",K13)))</formula>
    </cfRule>
    <cfRule type="containsText" dxfId="0" priority="7" operator="containsText" text="Erinomainen">
      <formula>NOT(ISERROR(SEARCH("Erinomainen",K13)))</formula>
    </cfRule>
  </conditionalFormatting>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d5226b5df314a947c39d52e317c27300">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5e3c7916e7f0f700f618cc894909ece8"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1C5910-BFBA-4443-8A6B-F56392972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5ebd8-b9bd-4f76-9ea5-f6d45203b8d2"/>
    <ds:schemaRef ds:uri="e5c82937-2ea2-4861-be31-63ded3678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0462D-7794-4522-B475-AFCF7741A243}">
  <ds:schemaRefs>
    <ds:schemaRef ds:uri="http://schemas.microsoft.com/sharepoint/v3/contenttype/forms"/>
  </ds:schemaRefs>
</ds:datastoreItem>
</file>

<file path=customXml/itemProps3.xml><?xml version="1.0" encoding="utf-8"?>
<ds:datastoreItem xmlns:ds="http://schemas.openxmlformats.org/officeDocument/2006/customXml" ds:itemID="{F3FE5051-8585-4381-BB09-57FC33CF4212}">
  <ds:schemaRefs>
    <ds:schemaRef ds:uri="http://schemas.microsoft.com/office/2006/metadata/properties"/>
    <ds:schemaRef ds:uri="http://schemas.microsoft.com/office/infopath/2007/PartnerControls"/>
    <ds:schemaRef ds:uri="e5c82937-2ea2-4861-be31-63ded3678d05"/>
    <ds:schemaRef ds:uri="44a5ebd8-b9bd-4f76-9ea5-f6d45203b8d2"/>
  </ds:schemaRefs>
</ds:datastoreItem>
</file>

<file path=docMetadata/LabelInfo.xml><?xml version="1.0" encoding="utf-8"?>
<clbl:labelList xmlns:clbl="http://schemas.microsoft.com/office/2020/mipLabelMetadata">
  <clbl:label id="{b7d930e5-5996-48c6-b5c7-ac2a8b840da7}" enabled="1" method="Privileged" siteId="{5b73a072-2f1f-46ad-92ca-a9b3993e45aa}"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Laskentataulukot</vt:lpstr>
      </vt:variant>
      <vt:variant>
        <vt:i4>13</vt:i4>
      </vt:variant>
    </vt:vector>
  </HeadingPairs>
  <TitlesOfParts>
    <vt:vector size="13" baseType="lpstr">
      <vt:lpstr>Lähtötiedot</vt:lpstr>
      <vt:lpstr>LV</vt:lpstr>
      <vt:lpstr>Kysymyspankki</vt:lpstr>
      <vt:lpstr>Ohje</vt:lpstr>
      <vt:lpstr>Turvallinen_ja_toimintavarma</vt:lpstr>
      <vt:lpstr>Kustannustehokas_ja_organisoitu</vt:lpstr>
      <vt:lpstr>Kestävä_ja_kehittyvä</vt:lpstr>
      <vt:lpstr>TEKNINEN - TulostenLasku</vt:lpstr>
      <vt:lpstr>Tulokset</vt:lpstr>
      <vt:lpstr>TEKNINEN - Korjattavaa</vt:lpstr>
      <vt:lpstr>Korjattavaa</vt:lpstr>
      <vt:lpstr>TEKNINEN - Koontisivu</vt:lpstr>
      <vt:lpstr>Koontisivu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2026-03-19T08:46:35Z</dcterms:created>
  <dcterms:modified xsi:type="dcterms:W3CDTF">2026-05-25T08:59:58Z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y fmtid="{D5CDD505-2E9C-101B-9397-08002B2CF9AE}" pid="3" name="MediaServiceImageTags">
    <vt:lpwstr/>
  </property>
</Properties>
</file>